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rynhart/Downloads/"/>
    </mc:Choice>
  </mc:AlternateContent>
  <xr:revisionPtr revIDLastSave="0" documentId="13_ncr:1_{2AA72420-CFB8-1D4A-9663-86AC40C9EC12}" xr6:coauthVersionLast="47" xr6:coauthVersionMax="47" xr10:uidLastSave="{00000000-0000-0000-0000-000000000000}"/>
  <bookViews>
    <workbookView xWindow="30980" yWindow="-840" windowWidth="33400" windowHeight="18860" xr2:uid="{00000000-000D-0000-FFFF-FFFF00000000}"/>
  </bookViews>
  <sheets>
    <sheet name="Start Here 👉 Business Details" sheetId="3" r:id="rId1"/>
    <sheet name="Advanced Business Details" sheetId="6" r:id="rId2"/>
    <sheet name="Budget Worksheet" sheetId="1" r:id="rId3"/>
    <sheet name="Settings" sheetId="2" r:id="rId4"/>
    <sheet name="Calculations" sheetId="5" r:id="rId5"/>
    <sheet name="Version" sheetId="4" r:id="rId6"/>
  </sheets>
  <definedNames>
    <definedName name="tool_version">Version!$G$2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1" l="1"/>
  <c r="M18" i="1"/>
  <c r="M19" i="1"/>
  <c r="M20" i="1"/>
  <c r="M21" i="1"/>
  <c r="M16" i="1"/>
  <c r="B13" i="5"/>
  <c r="J41" i="1"/>
  <c r="H41" i="1"/>
  <c r="N46" i="1"/>
  <c r="K14" i="6"/>
  <c r="E8" i="1"/>
  <c r="J26" i="1"/>
  <c r="H26" i="1"/>
  <c r="F26" i="1"/>
  <c r="B32" i="6"/>
  <c r="K17" i="6"/>
  <c r="K20" i="6"/>
  <c r="E29" i="6"/>
  <c r="B38" i="6"/>
  <c r="B35" i="6"/>
  <c r="F46" i="1"/>
  <c r="J47" i="1"/>
  <c r="H47" i="1"/>
  <c r="F47" i="1"/>
  <c r="J46" i="1"/>
  <c r="H46" i="1"/>
  <c r="A40" i="5"/>
  <c r="A39" i="5"/>
  <c r="A38" i="5"/>
  <c r="A37" i="5"/>
  <c r="A36" i="5"/>
  <c r="A35" i="5"/>
  <c r="K12" i="1"/>
  <c r="F29" i="1" s="1"/>
  <c r="B5" i="5"/>
  <c r="D23" i="5"/>
  <c r="J34" i="1" s="1"/>
  <c r="C23" i="5"/>
  <c r="H34" i="1" s="1"/>
  <c r="B23" i="5"/>
  <c r="H40" i="1"/>
  <c r="F34" i="1"/>
  <c r="D9" i="5"/>
  <c r="C9" i="5"/>
  <c r="B9" i="5"/>
  <c r="C5" i="5"/>
  <c r="C8" i="5"/>
  <c r="D5" i="5"/>
  <c r="B8" i="5"/>
  <c r="D8" i="5"/>
  <c r="H28" i="1"/>
  <c r="M12" i="1" l="1"/>
  <c r="L47" i="1"/>
  <c r="J29" i="1"/>
  <c r="H29" i="1"/>
  <c r="L29" i="1" l="1"/>
  <c r="B14" i="6"/>
  <c r="J45" i="1"/>
  <c r="H45" i="1"/>
  <c r="H38" i="1"/>
  <c r="J38" i="1"/>
  <c r="B13" i="1"/>
  <c r="K16" i="1"/>
  <c r="K21" i="6"/>
  <c r="K13" i="6"/>
  <c r="B20" i="6"/>
  <c r="B17" i="6"/>
  <c r="K18" i="6"/>
  <c r="K36" i="6"/>
  <c r="K30" i="3"/>
  <c r="J30" i="3"/>
  <c r="F40" i="1"/>
  <c r="K24" i="3"/>
  <c r="B24" i="3"/>
  <c r="D13" i="5" l="1"/>
  <c r="C13" i="5" a="1"/>
  <c r="C13" i="5" s="1"/>
  <c r="L46" i="1"/>
  <c r="B10" i="5"/>
  <c r="L34" i="1"/>
  <c r="J24" i="3"/>
  <c r="J40" i="1"/>
  <c r="J25" i="1"/>
  <c r="H25" i="1"/>
  <c r="N33" i="1"/>
  <c r="K11" i="1"/>
  <c r="F28" i="1" s="1"/>
  <c r="B3" i="5"/>
  <c r="C2" i="2"/>
  <c r="B21" i="3"/>
  <c r="E19" i="3"/>
  <c r="G2" i="4"/>
  <c r="J28" i="1"/>
  <c r="K17" i="1"/>
  <c r="D11" i="5" s="1"/>
  <c r="K18" i="1"/>
  <c r="K19" i="1"/>
  <c r="K20" i="1"/>
  <c r="E13" i="1"/>
  <c r="E10" i="1"/>
  <c r="K10" i="1" s="1"/>
  <c r="K21" i="1"/>
  <c r="J27" i="1" l="1"/>
  <c r="H27" i="1"/>
  <c r="D10" i="5"/>
  <c r="C10" i="5"/>
  <c r="D7" i="5"/>
  <c r="C7" i="5" a="1"/>
  <c r="C7" i="5" s="1"/>
  <c r="B7" i="5"/>
  <c r="B12" i="5"/>
  <c r="D6" i="5"/>
  <c r="C6" i="5" a="1"/>
  <c r="C6" i="5" s="1"/>
  <c r="B6" i="5"/>
  <c r="A55" i="1"/>
  <c r="A54" i="6"/>
  <c r="H32" i="1"/>
  <c r="C11" i="5" a="1"/>
  <c r="C11" i="5" s="1"/>
  <c r="B11" i="5"/>
  <c r="A21" i="2"/>
  <c r="A43" i="3"/>
  <c r="J32" i="1"/>
  <c r="F27" i="1"/>
  <c r="F32" i="1"/>
  <c r="L28" i="1"/>
  <c r="B18" i="5" l="1"/>
  <c r="G13" i="1" s="1"/>
  <c r="C18" i="5"/>
  <c r="D18" i="5"/>
  <c r="L27" i="1"/>
  <c r="L32" i="1"/>
  <c r="J30" i="1" l="1"/>
  <c r="J31" i="1"/>
  <c r="H30" i="1"/>
  <c r="H31" i="1"/>
  <c r="F31" i="1"/>
  <c r="H33" i="1" l="1"/>
  <c r="H39" i="1" s="1"/>
  <c r="K13" i="1"/>
  <c r="F30" i="1" s="1"/>
  <c r="J33" i="1"/>
  <c r="J39" i="1" s="1"/>
  <c r="L31" i="1" l="1"/>
  <c r="N31" i="1" s="1"/>
  <c r="L30" i="1"/>
  <c r="F33" i="1"/>
  <c r="F39" i="1" s="1"/>
  <c r="F41" i="1" s="1"/>
  <c r="L3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<sst xmlns="http://schemas.openxmlformats.org/spreadsheetml/2006/main" count="120" uniqueCount="98">
  <si>
    <t>Employee Recognition &amp; Rewards Budget Planner</t>
  </si>
  <si>
    <t>Business Details</t>
  </si>
  <si>
    <r>
      <t xml:space="preserve">Provide some simple details here to get a better estimate of the total budget that you will need for an employee recognition program, with or without rewards.
</t>
    </r>
    <r>
      <rPr>
        <b/>
        <sz val="11"/>
        <color theme="1"/>
        <rFont val="Calibri"/>
        <family val="2"/>
        <scheme val="minor"/>
      </rPr>
      <t>Instructions:</t>
    </r>
    <r>
      <rPr>
        <sz val="11"/>
        <color theme="1"/>
        <rFont val="Calibri"/>
        <family val="2"/>
        <scheme val="minor"/>
      </rPr>
      <t xml:space="preserve"> Only fill in the yellow cells in this sheet.</t>
    </r>
  </si>
  <si>
    <t>#1</t>
  </si>
  <si>
    <t>How many employees are you planning to bring onto your employee recognition software in the first year? (eg. 2000)</t>
  </si>
  <si>
    <t>#2</t>
  </si>
  <si>
    <t>How much do you plan to spend in total on recognition per person / year?</t>
  </si>
  <si>
    <t>👈</t>
  </si>
  <si>
    <r>
      <t xml:space="preserve">Type a number or click on the cell and use the dropdown to choose commonly used values.
</t>
    </r>
    <r>
      <rPr>
        <b/>
        <sz val="11"/>
        <color theme="1"/>
        <rFont val="Calibri"/>
        <family val="2"/>
        <scheme val="minor"/>
      </rPr>
      <t>Did you know:</t>
    </r>
    <r>
      <rPr>
        <sz val="11"/>
        <color theme="1"/>
        <rFont val="Calibri"/>
        <family val="2"/>
        <scheme val="minor"/>
      </rPr>
      <t xml:space="preserve">
A study by the Conference Board of Canada found that the average amount spent per employee by private sector organizations on employee recognition was $208/yr. Public sector organizations spent an average of $123 per employee per year.</t>
    </r>
  </si>
  <si>
    <t>#3</t>
  </si>
  <si>
    <t>How many years would you like to include in this budget calculation? Select between 1 to 3. (eg. 3)</t>
  </si>
  <si>
    <t>#4</t>
  </si>
  <si>
    <t>Some rewards vendors will apply a markup fee or charge for shipping &amp; fulfilment of rewards. If yours does, please input the markup or fulfilment charge here (eg. 30%)</t>
  </si>
  <si>
    <r>
      <rPr>
        <b/>
        <sz val="11"/>
        <color rgb="FF000000"/>
        <rFont val="Calibri"/>
        <family val="2"/>
        <scheme val="minor"/>
      </rPr>
      <t xml:space="preserve">Next: </t>
    </r>
    <r>
      <rPr>
        <sz val="11"/>
        <color rgb="FF000000"/>
        <rFont val="Calibri"/>
        <family val="2"/>
        <scheme val="minor"/>
      </rPr>
      <t>Click the "Advanced Business Details" tab below to continue building your budget!</t>
    </r>
  </si>
  <si>
    <t>Copyright © 2025 Kudos®, Inc. All Rights Reserved.</t>
  </si>
  <si>
    <t>Advanced Business Details</t>
  </si>
  <si>
    <r>
      <t xml:space="preserve">These values are optional, but can be completed to provide a more accurate multi-year budget.
</t>
    </r>
    <r>
      <rPr>
        <b/>
        <sz val="11"/>
        <color theme="1"/>
        <rFont val="Calibri"/>
        <family val="2"/>
        <scheme val="minor"/>
      </rPr>
      <t xml:space="preserve">Instructions: </t>
    </r>
    <r>
      <rPr>
        <sz val="11"/>
        <color theme="1"/>
        <rFont val="Calibri"/>
        <family val="2"/>
        <scheme val="minor"/>
      </rPr>
      <t>Only fill in the yellow cells in this sheet.</t>
    </r>
  </si>
  <si>
    <t>Yes</t>
  </si>
  <si>
    <t>What type of employee recognition program are you currently using? (eg. 'Manual Recognition Program')</t>
  </si>
  <si>
    <t>Manual Recognition Program</t>
  </si>
  <si>
    <t>How much time does your organization spend on managing employee recognition?</t>
  </si>
  <si>
    <r>
      <rPr>
        <b/>
        <sz val="11"/>
        <color theme="1"/>
        <rFont val="Calibri"/>
        <family val="2"/>
        <scheme val="minor"/>
      </rPr>
      <t>Next:</t>
    </r>
    <r>
      <rPr>
        <sz val="11"/>
        <color theme="1"/>
        <rFont val="Calibri"/>
        <family val="2"/>
        <scheme val="minor"/>
      </rPr>
      <t xml:space="preserve"> Click the "Budget Worksheet" tab below to begin building your budget!</t>
    </r>
  </si>
  <si>
    <r>
      <rPr>
        <b/>
        <sz val="11"/>
        <color theme="1"/>
        <rFont val="Calibri"/>
        <family val="2"/>
        <scheme val="minor"/>
      </rPr>
      <t>Instructions:</t>
    </r>
    <r>
      <rPr>
        <sz val="11"/>
        <color theme="1"/>
        <rFont val="Calibri"/>
        <family val="2"/>
        <scheme val="minor"/>
      </rPr>
      <t xml:space="preserve"> Only fill in the yellow cells</t>
    </r>
  </si>
  <si>
    <t>FORECAST LINE ITEMS</t>
  </si>
  <si>
    <t>Line Item</t>
  </si>
  <si>
    <t>Cost</t>
  </si>
  <si>
    <t>Type</t>
  </si>
  <si>
    <t>Subtotal</t>
  </si>
  <si>
    <t>CORE ITEMS</t>
  </si>
  <si>
    <t>Per User License/Subscription Fees</t>
  </si>
  <si>
    <t>Monthly</t>
  </si>
  <si>
    <t>Implementation &amp; Onboarding</t>
  </si>
  <si>
    <t>One-Time Charge</t>
  </si>
  <si>
    <t>Ongoing Customer Support</t>
  </si>
  <si>
    <t>Annual</t>
  </si>
  <si>
    <t>ADDON ITEMS</t>
  </si>
  <si>
    <t>(Eg. Extra services, features, consulting, etc.)</t>
  </si>
  <si>
    <t xml:space="preserve"> </t>
  </si>
  <si>
    <t>FORECAST</t>
  </si>
  <si>
    <t>Year 1</t>
  </si>
  <si>
    <t>Category Totals</t>
  </si>
  <si>
    <t>Software</t>
  </si>
  <si>
    <t>Implementation</t>
  </si>
  <si>
    <t>Ongoing Support</t>
  </si>
  <si>
    <t>Rewards</t>
  </si>
  <si>
    <t>Reward Fees</t>
  </si>
  <si>
    <t>Add-ons</t>
  </si>
  <si>
    <t>Annual Forecasted Cost</t>
  </si>
  <si>
    <t>Annual Budgeted Cost</t>
  </si>
  <si>
    <t>COST/EMPLOYEE VS. TARGET BUDGET</t>
  </si>
  <si>
    <t>Forecasted Cost</t>
  </si>
  <si>
    <t>Budgeted Cost</t>
  </si>
  <si>
    <t>Under/Over</t>
  </si>
  <si>
    <t>ADMIN TIME</t>
  </si>
  <si>
    <t>Admin Time Spent</t>
  </si>
  <si>
    <t>Person/Days/Year</t>
  </si>
  <si>
    <t>Line Item Type</t>
  </si>
  <si>
    <t>Budget Years</t>
  </si>
  <si>
    <t>Typical Recognition/Employee Budgets</t>
  </si>
  <si>
    <t>Typical Recognition/Employee Budgets %</t>
  </si>
  <si>
    <t>Yes/No</t>
  </si>
  <si>
    <t>Existing Systems</t>
  </si>
  <si>
    <t>Monthly Admin Time Spent</t>
  </si>
  <si>
    <t>Global Values</t>
  </si>
  <si>
    <t>Nothing</t>
  </si>
  <si>
    <t>Admin Time Saved</t>
  </si>
  <si>
    <t>No</t>
  </si>
  <si>
    <t>Existing Software</t>
  </si>
  <si>
    <t>Budget Breakdown Calculation</t>
  </si>
  <si>
    <t>Total Target Budget/User</t>
  </si>
  <si>
    <t>Year 2</t>
  </si>
  <si>
    <t>Year 3</t>
  </si>
  <si>
    <t>SaaS Monthly Core Costs/Yr/User</t>
  </si>
  <si>
    <t>SaaS Annual Core Costs/Yr/User</t>
  </si>
  <si>
    <t>SaaS One-Time Costs/Yr/User</t>
  </si>
  <si>
    <t>Monthly Core-Costs/Yr/User</t>
  </si>
  <si>
    <t>Annual Core-Costs/Yr/User</t>
  </si>
  <si>
    <t>Monthly Addon-Costs/Yr/User</t>
  </si>
  <si>
    <t>Annual Addon-Costs/Yr/User</t>
  </si>
  <si>
    <t>Core One Time-Costs/Yr/User</t>
  </si>
  <si>
    <t>Addon One Time-Costs/Yr/User</t>
  </si>
  <si>
    <t>Remaining Rewards Budget</t>
  </si>
  <si>
    <t>Annual Budget/Employee</t>
  </si>
  <si>
    <t>Quick Calcs</t>
  </si>
  <si>
    <t>Version</t>
  </si>
  <si>
    <t>Date</t>
  </si>
  <si>
    <t>Notes</t>
  </si>
  <si>
    <t>Known Issues/Limitations</t>
  </si>
  <si>
    <t>Sept. 3, 2021</t>
  </si>
  <si>
    <t>Base spreadsheet created with expense categorization and 3-year budget planning</t>
  </si>
  <si>
    <t>Current Version</t>
  </si>
  <si>
    <t>Sept. 14, 2021</t>
  </si>
  <si>
    <t>Added "Advanced Business Details" tab with multi-year employee growth and time savings calculation</t>
  </si>
  <si>
    <t>Sept. 20, 2021</t>
  </si>
  <si>
    <t>Added ""Ongoing Support" plus fixed some calculation errors when changing the type of charge for SaaS fees</t>
  </si>
  <si>
    <t>Adding line items that should scale with user growth do not currently scale along with user growth</t>
  </si>
  <si>
    <t>Sept. 5, 2025</t>
  </si>
  <si>
    <t>Updated logo, added additional warnings for additional costs when no type is filled in, fixed some calculation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</si>
</sst>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&quot;$&quot;#,##0.00"/>
    <numFmt numFmtId="165" formatCode="&quot;Employee Recognition &amp; Rewards Budget Planner v&quot;#0.##\ "/>
    <numFmt numFmtId="166" formatCode="&quot;$&quot;#,##0.00\ &quot;(Recognition Only)&quot;"/>
    <numFmt numFmtId="167" formatCode="&quot;$&quot;#,##0.00\ &quot;(Modest Rewards Budget)&quot;"/>
    <numFmt numFmtId="168" formatCode="&quot;$&quot;#,##0.00\ &quot;(Typical Rewards Budget)&quot;"/>
    <numFmt numFmtId="169" formatCode="&quot;👈&quot;\ #&quot;-Year Total Cost of Ownership&quot;"/>
    <numFmt numFmtId="170" formatCode="0.00#%\ &quot;of salary&quot;"/>
    <numFmt numFmtId="171" formatCode="0.00#%\ &quot;of salary (Max Recommended)&quot;"/>
    <numFmt numFmtId="172" formatCode="0.00#%\ &quot;of salary (Min Recommended)&quot;"/>
    <numFmt numFmtId="173" formatCode="##.0\ &quot;hours/month&quot;"/>
    <numFmt numFmtId="174" formatCode="##\ &quot;Workdays/Year&quot;"/>
    <numFmt numFmtId="175" formatCode="&quot;👈 by switching to Kudos® we estimate you'd save&quot;\ &quot;$&quot;###,###\ &quot;in admin time&quot;"/>
    <numFmt numFmtId="176" formatCode="##\ &quot;Workdays&quot;"/>
    <numFmt numFmtId="177" formatCode="&quot;$&quot;#,##0.00\ &quot;(Modest)&quot;"/>
    <numFmt numFmtId="178" formatCode="&quot;$&quot;#,##0.00\ \ &quot;(Average)&quot;"/>
    <numFmt numFmtId="179" formatCode="&quot;$&quot;#,##0.00\ &quot;(Below Average)&quot;"/>
    <numFmt numFmtId="180" formatCode="&quot;$&quot;#,##0.00\ \ &quot;(Above Average)&quot;"/>
    <numFmt numFmtId="181" formatCode="&quot;$&quot;#,##0.00\ &quot;(A lot)&quot;"/>
    <numFmt numFmtId="182" formatCode="##\ &quot;hours/mo.&quot;"/>
    <numFmt numFmtId="183" formatCode="##\ &quot;hours/mo. (Average)&quot;"/>
    <numFmt numFmtId="184" formatCode="####\ &quot;Employees&quot;"/>
    <numFmt numFmtId="185" formatCode="&quot;$&quot;#,##0.00\ &quot;(Above Average Budget)&quot;"/>
  </numFmts>
  <fonts count="15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444444"/>
      <name val="Calibri"/>
      <family val="2"/>
      <charset val="1"/>
    </font>
    <font>
      <sz val="2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40404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51">
    <xf numFmtId="0" fontId="0" fillId="0" borderId="0" xfId="0"/>
    <xf numFmtId="0" fontId="0" fillId="6" borderId="0" xfId="0" applyFill="1"/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3" fillId="6" borderId="0" xfId="0" quotePrefix="1" applyFont="1" applyFill="1"/>
    <xf numFmtId="10" fontId="0" fillId="6" borderId="0" xfId="0" quotePrefix="1" applyNumberFormat="1" applyFill="1"/>
    <xf numFmtId="0" fontId="3" fillId="0" borderId="0" xfId="0" applyFont="1"/>
    <xf numFmtId="0" fontId="0" fillId="0" borderId="0" xfId="0" applyAlignment="1">
      <alignment horizontal="center"/>
    </xf>
    <xf numFmtId="0" fontId="0" fillId="8" borderId="0" xfId="0" applyFill="1"/>
    <xf numFmtId="0" fontId="5" fillId="6" borderId="0" xfId="0" applyFont="1" applyFill="1"/>
    <xf numFmtId="165" fontId="5" fillId="6" borderId="0" xfId="0" applyNumberFormat="1" applyFont="1" applyFill="1"/>
    <xf numFmtId="0" fontId="0" fillId="6" borderId="0" xfId="0" applyFill="1" applyAlignment="1">
      <alignment horizontal="right"/>
    </xf>
    <xf numFmtId="0" fontId="2" fillId="8" borderId="0" xfId="0" applyFont="1" applyFill="1" applyAlignment="1">
      <alignment horizontal="right"/>
    </xf>
    <xf numFmtId="164" fontId="0" fillId="8" borderId="0" xfId="0" applyNumberForma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0" fillId="8" borderId="0" xfId="0" applyFill="1" applyAlignment="1">
      <alignment horizontal="left" vertical="center"/>
    </xf>
    <xf numFmtId="0" fontId="0" fillId="8" borderId="0" xfId="0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0" fontId="0" fillId="6" borderId="0" xfId="0" applyFill="1" applyAlignment="1">
      <alignment horizontal="left" vertical="center" wrapText="1"/>
    </xf>
    <xf numFmtId="0" fontId="9" fillId="8" borderId="0" xfId="0" applyFont="1" applyFill="1" applyAlignment="1">
      <alignment horizontal="right"/>
    </xf>
    <xf numFmtId="0" fontId="0" fillId="0" borderId="0" xfId="0" applyAlignment="1">
      <alignment wrapText="1"/>
    </xf>
    <xf numFmtId="0" fontId="0" fillId="6" borderId="0" xfId="0" applyFill="1" applyProtection="1">
      <protection hidden="1"/>
    </xf>
    <xf numFmtId="0" fontId="0" fillId="0" borderId="0" xfId="0" applyProtection="1">
      <protection hidden="1"/>
    </xf>
    <xf numFmtId="174" fontId="0" fillId="8" borderId="0" xfId="0" applyNumberFormat="1" applyFill="1" applyAlignment="1" applyProtection="1">
      <alignment horizontal="center"/>
      <protection hidden="1"/>
    </xf>
    <xf numFmtId="1" fontId="0" fillId="8" borderId="0" xfId="0" applyNumberForma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164" fontId="0" fillId="0" borderId="0" xfId="0" applyNumberFormat="1" applyProtection="1">
      <protection hidden="1"/>
    </xf>
    <xf numFmtId="164" fontId="0" fillId="0" borderId="0" xfId="1" applyNumberFormat="1" applyFont="1" applyProtection="1">
      <protection hidden="1"/>
    </xf>
    <xf numFmtId="0" fontId="0" fillId="0" borderId="0" xfId="0" applyAlignment="1" applyProtection="1">
      <alignment wrapText="1"/>
      <protection hidden="1"/>
    </xf>
    <xf numFmtId="0" fontId="1" fillId="2" borderId="7" xfId="0" applyFont="1" applyFill="1" applyBorder="1" applyProtection="1">
      <protection hidden="1"/>
    </xf>
    <xf numFmtId="177" fontId="0" fillId="6" borderId="16" xfId="0" applyNumberFormat="1" applyFill="1" applyBorder="1" applyProtection="1">
      <protection hidden="1"/>
    </xf>
    <xf numFmtId="179" fontId="0" fillId="6" borderId="16" xfId="0" applyNumberFormat="1" applyFill="1" applyBorder="1" applyProtection="1">
      <protection hidden="1"/>
    </xf>
    <xf numFmtId="178" fontId="0" fillId="6" borderId="16" xfId="0" applyNumberFormat="1" applyFill="1" applyBorder="1" applyProtection="1">
      <protection hidden="1"/>
    </xf>
    <xf numFmtId="180" fontId="0" fillId="6" borderId="16" xfId="0" applyNumberFormat="1" applyFill="1" applyBorder="1" applyProtection="1">
      <protection hidden="1"/>
    </xf>
    <xf numFmtId="181" fontId="0" fillId="6" borderId="16" xfId="0" applyNumberFormat="1" applyFill="1" applyBorder="1" applyProtection="1">
      <protection hidden="1"/>
    </xf>
    <xf numFmtId="0" fontId="2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" fillId="2" borderId="6" xfId="0" applyFont="1" applyFill="1" applyBorder="1" applyProtection="1">
      <protection hidden="1"/>
    </xf>
    <xf numFmtId="0" fontId="0" fillId="8" borderId="0" xfId="0" applyFill="1" applyProtection="1">
      <protection hidden="1"/>
    </xf>
    <xf numFmtId="0" fontId="0" fillId="0" borderId="12" xfId="0" applyBorder="1" applyProtection="1">
      <protection hidden="1"/>
    </xf>
    <xf numFmtId="0" fontId="0" fillId="0" borderId="17" xfId="0" applyBorder="1" applyProtection="1">
      <protection hidden="1"/>
    </xf>
    <xf numFmtId="166" fontId="0" fillId="6" borderId="16" xfId="0" applyNumberFormat="1" applyFill="1" applyBorder="1" applyProtection="1">
      <protection hidden="1"/>
    </xf>
    <xf numFmtId="172" fontId="0" fillId="6" borderId="16" xfId="0" applyNumberFormat="1" applyFill="1" applyBorder="1" applyProtection="1">
      <protection hidden="1"/>
    </xf>
    <xf numFmtId="0" fontId="0" fillId="6" borderId="22" xfId="0" applyFill="1" applyBorder="1" applyProtection="1">
      <protection hidden="1"/>
    </xf>
    <xf numFmtId="182" fontId="0" fillId="8" borderId="16" xfId="0" applyNumberFormat="1" applyFill="1" applyBorder="1" applyProtection="1">
      <protection hidden="1"/>
    </xf>
    <xf numFmtId="0" fontId="0" fillId="6" borderId="0" xfId="0" applyFill="1" applyAlignment="1" applyProtection="1">
      <alignment horizontal="right"/>
      <protection hidden="1"/>
    </xf>
    <xf numFmtId="9" fontId="0" fillId="6" borderId="0" xfId="1" applyFont="1" applyFill="1" applyProtection="1">
      <protection hidden="1"/>
    </xf>
    <xf numFmtId="0" fontId="0" fillId="0" borderId="6" xfId="0" applyBorder="1" applyProtection="1">
      <protection hidden="1"/>
    </xf>
    <xf numFmtId="0" fontId="0" fillId="0" borderId="18" xfId="0" applyBorder="1" applyProtection="1">
      <protection hidden="1"/>
    </xf>
    <xf numFmtId="167" fontId="0" fillId="6" borderId="16" xfId="0" applyNumberFormat="1" applyFill="1" applyBorder="1" applyProtection="1">
      <protection hidden="1"/>
    </xf>
    <xf numFmtId="170" fontId="0" fillId="6" borderId="16" xfId="0" applyNumberFormat="1" applyFill="1" applyBorder="1" applyProtection="1">
      <protection hidden="1"/>
    </xf>
    <xf numFmtId="168" fontId="0" fillId="6" borderId="16" xfId="0" applyNumberFormat="1" applyFill="1" applyBorder="1" applyProtection="1">
      <protection hidden="1"/>
    </xf>
    <xf numFmtId="183" fontId="0" fillId="8" borderId="16" xfId="0" applyNumberFormat="1" applyFill="1" applyBorder="1" applyProtection="1">
      <protection hidden="1"/>
    </xf>
    <xf numFmtId="171" fontId="0" fillId="6" borderId="16" xfId="0" applyNumberFormat="1" applyFill="1" applyBorder="1" applyProtection="1">
      <protection hidden="1"/>
    </xf>
    <xf numFmtId="0" fontId="11" fillId="8" borderId="0" xfId="0" applyFont="1" applyFill="1"/>
    <xf numFmtId="0" fontId="1" fillId="8" borderId="0" xfId="0" applyFont="1" applyFill="1"/>
    <xf numFmtId="185" fontId="0" fillId="6" borderId="16" xfId="0" applyNumberFormat="1" applyFill="1" applyBorder="1" applyProtection="1">
      <protection hidden="1"/>
    </xf>
    <xf numFmtId="0" fontId="10" fillId="8" borderId="0" xfId="0" applyFont="1" applyFill="1" applyAlignment="1">
      <alignment horizontal="center" vertical="center"/>
    </xf>
    <xf numFmtId="0" fontId="0" fillId="6" borderId="0" xfId="0" applyFill="1" applyAlignment="1" applyProtection="1">
      <alignment horizontal="left" vertical="top" wrapText="1"/>
      <protection hidden="1"/>
    </xf>
    <xf numFmtId="0" fontId="1" fillId="4" borderId="0" xfId="0" applyFont="1" applyFill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 vertical="center" wrapText="1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left" vertical="center" wrapText="1"/>
      <protection hidden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164" fontId="0" fillId="3" borderId="0" xfId="0" applyNumberFormat="1" applyFill="1" applyAlignment="1" applyProtection="1">
      <alignment horizontal="center" vertical="center"/>
      <protection locked="0"/>
    </xf>
    <xf numFmtId="0" fontId="0" fillId="6" borderId="15" xfId="0" applyFill="1" applyBorder="1" applyAlignment="1" applyProtection="1">
      <alignment horizontal="center" vertical="center"/>
      <protection hidden="1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164" fontId="0" fillId="3" borderId="3" xfId="0" applyNumberFormat="1" applyFill="1" applyBorder="1" applyAlignment="1" applyProtection="1">
      <alignment horizontal="center" vertical="center"/>
      <protection locked="0"/>
    </xf>
    <xf numFmtId="164" fontId="0" fillId="3" borderId="4" xfId="0" applyNumberFormat="1" applyFill="1" applyBorder="1" applyAlignment="1" applyProtection="1">
      <alignment horizontal="center" vertical="center"/>
      <protection locked="0"/>
    </xf>
    <xf numFmtId="164" fontId="0" fillId="3" borderId="5" xfId="0" applyNumberFormat="1" applyFill="1" applyBorder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center"/>
    </xf>
    <xf numFmtId="1" fontId="0" fillId="3" borderId="2" xfId="0" applyNumberFormat="1" applyFill="1" applyBorder="1" applyAlignment="1" applyProtection="1">
      <alignment horizontal="center" vertical="center"/>
      <protection locked="0"/>
    </xf>
    <xf numFmtId="1" fontId="0" fillId="3" borderId="3" xfId="0" applyNumberFormat="1" applyFill="1" applyBorder="1" applyAlignment="1" applyProtection="1">
      <alignment horizontal="center" vertical="center"/>
      <protection locked="0"/>
    </xf>
    <xf numFmtId="1" fontId="0" fillId="3" borderId="4" xfId="0" applyNumberFormat="1" applyFill="1" applyBorder="1" applyAlignment="1" applyProtection="1">
      <alignment horizontal="center" vertical="center"/>
      <protection locked="0"/>
    </xf>
    <xf numFmtId="1" fontId="0" fillId="3" borderId="5" xfId="0" applyNumberFormat="1" applyFill="1" applyBorder="1" applyAlignment="1" applyProtection="1">
      <alignment horizontal="center" vertical="center"/>
      <protection locked="0"/>
    </xf>
    <xf numFmtId="10" fontId="0" fillId="3" borderId="0" xfId="0" applyNumberFormat="1" applyFill="1" applyAlignment="1" applyProtection="1">
      <alignment horizontal="center" vertical="center"/>
      <protection locked="0"/>
    </xf>
    <xf numFmtId="10" fontId="0" fillId="3" borderId="2" xfId="0" applyNumberFormat="1" applyFill="1" applyBorder="1" applyAlignment="1" applyProtection="1">
      <alignment horizontal="center" vertical="center"/>
      <protection locked="0"/>
    </xf>
    <xf numFmtId="10" fontId="0" fillId="3" borderId="3" xfId="0" applyNumberFormat="1" applyFill="1" applyBorder="1" applyAlignment="1" applyProtection="1">
      <alignment horizontal="center" vertical="center"/>
      <protection locked="0"/>
    </xf>
    <xf numFmtId="10" fontId="0" fillId="3" borderId="4" xfId="0" applyNumberFormat="1" applyFill="1" applyBorder="1" applyAlignment="1" applyProtection="1">
      <alignment horizontal="center" vertical="center"/>
      <protection locked="0"/>
    </xf>
    <xf numFmtId="10" fontId="0" fillId="3" borderId="5" xfId="0" applyNumberFormat="1" applyFill="1" applyBorder="1" applyAlignment="1" applyProtection="1">
      <alignment horizontal="center" vertical="center"/>
      <protection locked="0"/>
    </xf>
    <xf numFmtId="165" fontId="5" fillId="6" borderId="0" xfId="0" applyNumberFormat="1" applyFont="1" applyFill="1" applyAlignment="1">
      <alignment horizontal="center"/>
    </xf>
    <xf numFmtId="0" fontId="2" fillId="0" borderId="0" xfId="0" applyFont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14" fillId="6" borderId="0" xfId="0" applyFont="1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6" borderId="0" xfId="0" applyFill="1" applyAlignment="1">
      <alignment horizontal="left" vertical="center" wrapText="1"/>
    </xf>
    <xf numFmtId="1" fontId="0" fillId="3" borderId="0" xfId="0" applyNumberFormat="1" applyFill="1" applyAlignment="1" applyProtection="1">
      <alignment horizontal="center" vertical="center"/>
      <protection locked="0"/>
    </xf>
    <xf numFmtId="182" fontId="0" fillId="3" borderId="2" xfId="0" applyNumberFormat="1" applyFill="1" applyBorder="1" applyAlignment="1" applyProtection="1">
      <alignment horizontal="center" vertical="center"/>
      <protection locked="0"/>
    </xf>
    <xf numFmtId="182" fontId="0" fillId="3" borderId="3" xfId="0" applyNumberFormat="1" applyFill="1" applyBorder="1" applyAlignment="1" applyProtection="1">
      <alignment horizontal="center" vertical="center"/>
      <protection locked="0"/>
    </xf>
    <xf numFmtId="182" fontId="0" fillId="3" borderId="4" xfId="0" applyNumberFormat="1" applyFill="1" applyBorder="1" applyAlignment="1" applyProtection="1">
      <alignment horizontal="center" vertical="center"/>
      <protection locked="0"/>
    </xf>
    <xf numFmtId="182" fontId="0" fillId="3" borderId="5" xfId="0" applyNumberFormat="1" applyFill="1" applyBorder="1" applyAlignment="1" applyProtection="1">
      <alignment horizontal="center" vertical="center"/>
      <protection locked="0"/>
    </xf>
    <xf numFmtId="173" fontId="0" fillId="8" borderId="0" xfId="0" applyNumberFormat="1" applyFill="1" applyAlignment="1" applyProtection="1">
      <alignment horizontal="center" vertical="center"/>
      <protection locked="0"/>
    </xf>
    <xf numFmtId="10" fontId="0" fillId="10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8" fillId="6" borderId="0" xfId="0" applyFont="1" applyFill="1" applyAlignment="1">
      <alignment horizontal="center"/>
    </xf>
    <xf numFmtId="0" fontId="0" fillId="3" borderId="23" xfId="0" applyFill="1" applyBorder="1" applyAlignment="1" applyProtection="1">
      <alignment horizontal="center" vertical="center" wrapText="1"/>
      <protection locked="0"/>
    </xf>
    <xf numFmtId="0" fontId="0" fillId="3" borderId="24" xfId="0" applyFill="1" applyBorder="1" applyAlignment="1" applyProtection="1">
      <alignment horizontal="center" vertical="center" wrapText="1"/>
      <protection locked="0"/>
    </xf>
    <xf numFmtId="0" fontId="0" fillId="3" borderId="25" xfId="0" applyFill="1" applyBorder="1" applyAlignment="1" applyProtection="1">
      <alignment horizontal="center" vertical="center" wrapText="1"/>
      <protection locked="0"/>
    </xf>
    <xf numFmtId="0" fontId="0" fillId="3" borderId="26" xfId="0" applyFill="1" applyBorder="1" applyAlignment="1" applyProtection="1">
      <alignment horizontal="center" vertical="center" wrapText="1"/>
      <protection locked="0"/>
    </xf>
    <xf numFmtId="1" fontId="0" fillId="10" borderId="0" xfId="0" applyNumberForma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0" fillId="7" borderId="0" xfId="0" applyFill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184" fontId="12" fillId="12" borderId="0" xfId="0" applyNumberFormat="1" applyFont="1" applyFill="1" applyAlignment="1">
      <alignment horizontal="center"/>
    </xf>
    <xf numFmtId="184" fontId="12" fillId="12" borderId="27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0" xfId="0" applyNumberFormat="1" applyAlignment="1" applyProtection="1">
      <alignment horizontal="center"/>
      <protection hidden="1"/>
    </xf>
    <xf numFmtId="164" fontId="0" fillId="0" borderId="15" xfId="0" applyNumberFormat="1" applyBorder="1" applyAlignment="1" applyProtection="1">
      <alignment horizontal="center"/>
      <protection hidden="1"/>
    </xf>
    <xf numFmtId="0" fontId="0" fillId="5" borderId="0" xfId="0" applyFill="1" applyAlignment="1">
      <alignment horizontal="left" vertical="center"/>
    </xf>
    <xf numFmtId="0" fontId="0" fillId="3" borderId="6" xfId="0" applyFill="1" applyBorder="1" applyAlignment="1" applyProtection="1">
      <alignment horizontal="center" vertical="center"/>
      <protection locked="0"/>
    </xf>
    <xf numFmtId="164" fontId="0" fillId="3" borderId="12" xfId="0" applyNumberFormat="1" applyFill="1" applyBorder="1" applyAlignment="1" applyProtection="1">
      <alignment horizontal="center" vertical="center"/>
      <protection locked="0"/>
    </xf>
    <xf numFmtId="164" fontId="0" fillId="3" borderId="11" xfId="0" applyNumberFormat="1" applyFill="1" applyBorder="1" applyAlignment="1" applyProtection="1">
      <alignment horizontal="center" vertical="center"/>
      <protection locked="0"/>
    </xf>
    <xf numFmtId="164" fontId="0" fillId="3" borderId="7" xfId="0" applyNumberFormat="1" applyFill="1" applyBorder="1" applyAlignment="1" applyProtection="1">
      <alignment horizontal="center" vertical="center"/>
      <protection locked="0"/>
    </xf>
    <xf numFmtId="164" fontId="0" fillId="5" borderId="0" xfId="0" applyNumberFormat="1" applyFill="1" applyAlignment="1">
      <alignment horizontal="center" vertical="center"/>
    </xf>
    <xf numFmtId="0" fontId="0" fillId="6" borderId="0" xfId="0" applyFill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3" borderId="8" xfId="0" applyNumberFormat="1" applyFill="1" applyBorder="1" applyAlignment="1" applyProtection="1">
      <alignment horizontal="center" vertical="center"/>
      <protection locked="0"/>
    </xf>
    <xf numFmtId="164" fontId="0" fillId="3" borderId="6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164" fontId="0" fillId="3" borderId="10" xfId="0" applyNumberFormat="1" applyFill="1" applyBorder="1" applyAlignment="1" applyProtection="1">
      <alignment horizontal="center" vertical="center"/>
      <protection locked="0"/>
    </xf>
    <xf numFmtId="164" fontId="0" fillId="3" borderId="9" xfId="0" applyNumberFormat="1" applyFill="1" applyBorder="1" applyAlignment="1" applyProtection="1">
      <alignment horizontal="center" vertical="center"/>
      <protection locked="0"/>
    </xf>
    <xf numFmtId="164" fontId="0" fillId="5" borderId="19" xfId="0" applyNumberFormat="1" applyFill="1" applyBorder="1" applyAlignment="1">
      <alignment horizontal="center" vertical="center"/>
    </xf>
    <xf numFmtId="164" fontId="0" fillId="5" borderId="20" xfId="0" applyNumberFormat="1" applyFill="1" applyBorder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176" fontId="0" fillId="0" borderId="15" xfId="0" applyNumberFormat="1" applyBorder="1" applyAlignment="1" applyProtection="1">
      <alignment horizontal="center"/>
      <protection hidden="1"/>
    </xf>
    <xf numFmtId="176" fontId="0" fillId="0" borderId="0" xfId="0" applyNumberFormat="1" applyAlignment="1" applyProtection="1">
      <alignment horizontal="center"/>
      <protection hidden="1"/>
    </xf>
    <xf numFmtId="175" fontId="0" fillId="6" borderId="0" xfId="0" applyNumberFormat="1" applyFill="1" applyAlignment="1" applyProtection="1">
      <alignment horizontal="left" vertical="center"/>
      <protection hidden="1"/>
    </xf>
    <xf numFmtId="0" fontId="2" fillId="0" borderId="0" xfId="0" applyFont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0" xfId="0" applyAlignment="1" applyProtection="1">
      <alignment horizontal="center"/>
      <protection hidden="1"/>
    </xf>
    <xf numFmtId="0" fontId="0" fillId="11" borderId="0" xfId="0" applyFill="1" applyAlignment="1">
      <alignment horizontal="center"/>
    </xf>
    <xf numFmtId="174" fontId="0" fillId="0" borderId="0" xfId="0" applyNumberFormat="1" applyAlignment="1" applyProtection="1">
      <alignment horizontal="center"/>
      <protection hidden="1"/>
    </xf>
    <xf numFmtId="0" fontId="4" fillId="6" borderId="0" xfId="0" applyFont="1" applyFill="1" applyAlignment="1">
      <alignment horizontal="center" vertic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4" xfId="0" applyNumberFormat="1" applyBorder="1" applyAlignment="1" applyProtection="1">
      <alignment horizontal="center"/>
      <protection hidden="1"/>
    </xf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169" fontId="0" fillId="6" borderId="0" xfId="0" applyNumberFormat="1" applyFill="1" applyAlignment="1" applyProtection="1">
      <alignment horizontal="left"/>
      <protection hidden="1"/>
    </xf>
    <xf numFmtId="0" fontId="6" fillId="9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20">
    <dxf>
      <font>
        <color theme="1"/>
      </font>
    </dxf>
    <dxf>
      <font>
        <color theme="0"/>
      </font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ill>
        <patternFill>
          <bgColor theme="7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ill>
        <patternFill>
          <bgColor theme="7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ill>
        <patternFill>
          <bgColor theme="7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ill>
        <patternFill>
          <bgColor theme="7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2.png"/><Relationship Id="rId1" Type="http://schemas.openxmlformats.org/officeDocument/2006/relationships/hyperlink" Target="https://www.kudos.com/?utm_source=content&amp;utm_medium=budget_calculator&amp;utm_campaign=making-the-case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114300</xdr:rowOff>
    </xdr:from>
    <xdr:to>
      <xdr:col>2</xdr:col>
      <xdr:colOff>314325</xdr:colOff>
      <xdr:row>6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7D6AE7-2D87-4E7A-81BB-41CD3245B8E8}"/>
            </a:ext>
            <a:ext uri="{147F2762-F138-4A5C-976F-8EAC2B608ADB}">
              <a16:predDERef xmlns:a16="http://schemas.microsoft.com/office/drawing/2014/main" pred="{B7B8B481-6213-4DD1-9798-12781516E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114300"/>
          <a:ext cx="1276350" cy="1209675"/>
        </a:xfrm>
        <a:prstGeom prst="rect">
          <a:avLst/>
        </a:prstGeom>
      </xdr:spPr>
    </xdr:pic>
    <xdr:clientData/>
  </xdr:twoCellAnchor>
  <xdr:twoCellAnchor editAs="oneCell">
    <xdr:from>
      <xdr:col>4</xdr:col>
      <xdr:colOff>547076</xdr:colOff>
      <xdr:row>37</xdr:row>
      <xdr:rowOff>29309</xdr:rowOff>
    </xdr:from>
    <xdr:to>
      <xdr:col>6</xdr:col>
      <xdr:colOff>245981</xdr:colOff>
      <xdr:row>41</xdr:row>
      <xdr:rowOff>146540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6A37C5-C13A-D74A-A028-486B5B14BC08}"/>
            </a:ext>
            <a:ext uri="{147F2762-F138-4A5C-976F-8EAC2B608ADB}">
              <a16:predDERef xmlns:a16="http://schemas.microsoft.com/office/drawing/2014/main" pred="{B7B8B481-6213-4DD1-9798-12781516E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43384" y="10238155"/>
          <a:ext cx="1047059" cy="898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556358</xdr:colOff>
      <xdr:row>48</xdr:row>
      <xdr:rowOff>107913</xdr:rowOff>
    </xdr:from>
    <xdr:to>
      <xdr:col>6</xdr:col>
      <xdr:colOff>39077</xdr:colOff>
      <xdr:row>51</xdr:row>
      <xdr:rowOff>182686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576991-C2F6-4167-A5BF-CA7CA1DD0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18204" y="13682259"/>
          <a:ext cx="713642" cy="625269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0</xdr:row>
      <xdr:rowOff>104775</xdr:rowOff>
    </xdr:from>
    <xdr:to>
      <xdr:col>2</xdr:col>
      <xdr:colOff>323850</xdr:colOff>
      <xdr:row>6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18E899F-2D3F-4230-9159-398BAD77C958}"/>
            </a:ext>
            <a:ext uri="{147F2762-F138-4A5C-976F-8EAC2B608ADB}">
              <a16:predDERef xmlns:a16="http://schemas.microsoft.com/office/drawing/2014/main" pred="{BE576991-C2F6-4167-A5BF-CA7CA1DD0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0" y="104775"/>
          <a:ext cx="1276350" cy="12096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104775</xdr:rowOff>
    </xdr:from>
    <xdr:to>
      <xdr:col>1</xdr:col>
      <xdr:colOff>1457325</xdr:colOff>
      <xdr:row>5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218F32-0E60-D728-B75E-8838E57072E6}"/>
            </a:ext>
            <a:ext uri="{147F2762-F138-4A5C-976F-8EAC2B608ADB}">
              <a16:predDERef xmlns:a16="http://schemas.microsoft.com/office/drawing/2014/main" pred="{295514C2-2BC7-4A33-8CB1-D2E368314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4900" y="104775"/>
          <a:ext cx="942975" cy="895350"/>
        </a:xfrm>
        <a:prstGeom prst="rect">
          <a:avLst/>
        </a:prstGeom>
      </xdr:spPr>
    </xdr:pic>
    <xdr:clientData/>
  </xdr:twoCellAnchor>
  <xdr:twoCellAnchor editAs="oneCell">
    <xdr:from>
      <xdr:col>10</xdr:col>
      <xdr:colOff>133350</xdr:colOff>
      <xdr:row>50</xdr:row>
      <xdr:rowOff>19050</xdr:rowOff>
    </xdr:from>
    <xdr:to>
      <xdr:col>11</xdr:col>
      <xdr:colOff>257175</xdr:colOff>
      <xdr:row>53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ACAE6C5-44A6-434D-9100-76EC77061AA3}"/>
            </a:ext>
            <a:ext uri="{147F2762-F138-4A5C-976F-8EAC2B608ADB}">
              <a16:predDERef xmlns:a16="http://schemas.microsoft.com/office/drawing/2014/main" pred="{C4218F32-0E60-D728-B75E-8838E5707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0875" y="9553575"/>
          <a:ext cx="714375" cy="6858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266700</xdr:colOff>
      <xdr:row>14</xdr:row>
      <xdr:rowOff>9525</xdr:rowOff>
    </xdr:from>
    <xdr:to>
      <xdr:col>3</xdr:col>
      <xdr:colOff>1362075</xdr:colOff>
      <xdr:row>19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8D671E-65E4-44DC-AD0E-75F2E0D3F53F}"/>
            </a:ext>
            <a:ext uri="{147F2762-F138-4A5C-976F-8EAC2B608ADB}">
              <a16:predDERef xmlns:a16="http://schemas.microsoft.com/office/drawing/2014/main" pred="{B7B8B481-6213-4DD1-9798-12781516E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57825" y="2676525"/>
          <a:ext cx="1095375" cy="1038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4B7DF-A2A1-4775-8DD0-9F2A56D933B5}">
  <dimension ref="A1:AM83"/>
  <sheetViews>
    <sheetView tabSelected="1" zoomScale="130" zoomScaleNormal="130" workbookViewId="0">
      <selection activeCell="L47" sqref="L47"/>
    </sheetView>
  </sheetViews>
  <sheetFormatPr baseColWidth="10" defaultColWidth="8.83203125" defaultRowHeight="15" x14ac:dyDescent="0.2"/>
  <cols>
    <col min="12" max="39" width="9.1640625" style="1"/>
  </cols>
  <sheetData>
    <row r="1" spans="1:17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</row>
    <row r="2" spans="1:17" x14ac:dyDescent="0.2">
      <c r="A2" s="8"/>
      <c r="B2" s="8"/>
      <c r="C2" s="8"/>
      <c r="D2" s="59" t="s">
        <v>0</v>
      </c>
      <c r="E2" s="59"/>
      <c r="F2" s="59"/>
      <c r="G2" s="59"/>
      <c r="H2" s="59"/>
      <c r="I2" s="59"/>
      <c r="J2" s="59"/>
      <c r="K2" s="8"/>
    </row>
    <row r="3" spans="1:17" x14ac:dyDescent="0.2">
      <c r="A3" s="8"/>
      <c r="B3" s="8"/>
      <c r="C3" s="8"/>
      <c r="D3" s="59"/>
      <c r="E3" s="59"/>
      <c r="F3" s="59"/>
      <c r="G3" s="59"/>
      <c r="H3" s="59"/>
      <c r="I3" s="59"/>
      <c r="J3" s="59"/>
      <c r="K3" s="8"/>
    </row>
    <row r="4" spans="1:17" x14ac:dyDescent="0.2">
      <c r="A4" s="8"/>
      <c r="B4" s="8"/>
      <c r="C4" s="8"/>
      <c r="D4" s="59"/>
      <c r="E4" s="59"/>
      <c r="F4" s="59"/>
      <c r="G4" s="59"/>
      <c r="H4" s="59"/>
      <c r="I4" s="59"/>
      <c r="J4" s="59"/>
      <c r="K4" s="8"/>
    </row>
    <row r="5" spans="1:17" x14ac:dyDescent="0.2">
      <c r="A5" s="8"/>
      <c r="B5" s="8"/>
      <c r="C5" s="8"/>
      <c r="D5" s="59"/>
      <c r="E5" s="59"/>
      <c r="F5" s="59"/>
      <c r="G5" s="59"/>
      <c r="H5" s="59"/>
      <c r="I5" s="59"/>
      <c r="J5" s="59"/>
      <c r="K5" s="8"/>
    </row>
    <row r="6" spans="1:17" x14ac:dyDescent="0.2">
      <c r="A6" s="8"/>
      <c r="B6" s="8"/>
      <c r="C6" s="8"/>
      <c r="D6" s="59"/>
      <c r="E6" s="59"/>
      <c r="F6" s="59"/>
      <c r="G6" s="59"/>
      <c r="H6" s="59"/>
      <c r="I6" s="59"/>
      <c r="J6" s="59"/>
      <c r="K6" s="8"/>
    </row>
    <row r="7" spans="1:17" x14ac:dyDescent="0.2">
      <c r="A7" s="8"/>
      <c r="B7" s="8"/>
      <c r="C7" s="8"/>
      <c r="D7" s="59"/>
      <c r="E7" s="59"/>
      <c r="F7" s="59"/>
      <c r="G7" s="59"/>
      <c r="H7" s="59"/>
      <c r="I7" s="59"/>
      <c r="J7" s="59"/>
      <c r="K7" s="8"/>
    </row>
    <row r="8" spans="1:17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1:17" x14ac:dyDescent="0.2">
      <c r="A9" s="61" t="s">
        <v>1</v>
      </c>
      <c r="B9" s="61"/>
      <c r="C9" s="61"/>
      <c r="D9" s="61"/>
      <c r="E9" s="61"/>
      <c r="F9" s="61"/>
      <c r="G9" s="61"/>
      <c r="H9" s="61"/>
      <c r="I9" s="61"/>
      <c r="J9" s="21"/>
      <c r="K9" s="21"/>
      <c r="L9" s="21"/>
      <c r="M9" s="21"/>
      <c r="N9" s="21"/>
      <c r="O9" s="21"/>
      <c r="P9" s="21"/>
      <c r="Q9" s="21"/>
    </row>
    <row r="10" spans="1:17" ht="20" customHeight="1" x14ac:dyDescent="0.2">
      <c r="A10" s="62" t="s">
        <v>2</v>
      </c>
      <c r="B10" s="62"/>
      <c r="C10" s="62"/>
      <c r="D10" s="62"/>
      <c r="E10" s="62"/>
      <c r="F10" s="62"/>
      <c r="G10" s="62"/>
      <c r="H10" s="62"/>
      <c r="I10" s="62"/>
      <c r="J10" s="21"/>
      <c r="K10" s="21"/>
      <c r="L10" s="21"/>
      <c r="M10" s="21"/>
      <c r="N10" s="21"/>
      <c r="O10" s="21"/>
      <c r="P10" s="21"/>
      <c r="Q10" s="21"/>
    </row>
    <row r="11" spans="1:17" ht="20" customHeight="1" x14ac:dyDescent="0.2">
      <c r="A11" s="62"/>
      <c r="B11" s="62"/>
      <c r="C11" s="62"/>
      <c r="D11" s="62"/>
      <c r="E11" s="62"/>
      <c r="F11" s="62"/>
      <c r="G11" s="62"/>
      <c r="H11" s="62"/>
      <c r="I11" s="62"/>
      <c r="J11" s="21"/>
      <c r="K11" s="21"/>
      <c r="L11" s="21"/>
      <c r="M11" s="21"/>
      <c r="N11" s="21"/>
      <c r="O11" s="21"/>
      <c r="P11" s="21"/>
      <c r="Q11" s="21"/>
    </row>
    <row r="12" spans="1:17" ht="20" customHeight="1" x14ac:dyDescent="0.2">
      <c r="A12" s="62"/>
      <c r="B12" s="62"/>
      <c r="C12" s="62"/>
      <c r="D12" s="62"/>
      <c r="E12" s="62"/>
      <c r="F12" s="62"/>
      <c r="G12" s="62"/>
      <c r="H12" s="62"/>
      <c r="I12" s="62"/>
      <c r="J12" s="21"/>
      <c r="K12" s="21"/>
      <c r="L12" s="21"/>
      <c r="M12" s="21"/>
      <c r="N12" s="21"/>
      <c r="O12" s="21"/>
      <c r="P12" s="21"/>
      <c r="Q12" s="21"/>
    </row>
    <row r="13" spans="1:17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1:17" ht="28" customHeight="1" x14ac:dyDescent="0.2">
      <c r="A14" s="63" t="s">
        <v>3</v>
      </c>
      <c r="B14" s="64" t="s">
        <v>4</v>
      </c>
      <c r="C14" s="64"/>
      <c r="D14" s="64"/>
      <c r="E14" s="64"/>
      <c r="F14" s="64"/>
      <c r="G14" s="64"/>
      <c r="H14" s="65">
        <v>550</v>
      </c>
      <c r="I14" s="66"/>
      <c r="J14" s="21"/>
      <c r="K14" s="21"/>
      <c r="L14" s="21"/>
      <c r="M14" s="21"/>
      <c r="N14" s="21"/>
      <c r="O14" s="21"/>
      <c r="P14" s="21"/>
      <c r="Q14" s="21"/>
    </row>
    <row r="15" spans="1:17" ht="28" customHeight="1" x14ac:dyDescent="0.2">
      <c r="A15" s="63"/>
      <c r="B15" s="64"/>
      <c r="C15" s="64"/>
      <c r="D15" s="64"/>
      <c r="E15" s="64"/>
      <c r="F15" s="64"/>
      <c r="G15" s="64"/>
      <c r="H15" s="67"/>
      <c r="I15" s="68"/>
      <c r="J15" s="21"/>
      <c r="K15" s="21"/>
      <c r="L15" s="21"/>
      <c r="M15" s="21"/>
      <c r="N15" s="21"/>
      <c r="O15" s="21"/>
      <c r="P15" s="21"/>
      <c r="Q15" s="21"/>
    </row>
    <row r="16" spans="1:17" ht="27.75" customHeight="1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spans="1:17" ht="27.75" customHeight="1" x14ac:dyDescent="0.2">
      <c r="A17" s="63" t="s">
        <v>5</v>
      </c>
      <c r="B17" s="64" t="s">
        <v>6</v>
      </c>
      <c r="C17" s="64"/>
      <c r="D17" s="64"/>
      <c r="E17" s="64"/>
      <c r="F17" s="64"/>
      <c r="G17" s="64"/>
      <c r="H17" s="71"/>
      <c r="I17" s="72"/>
      <c r="J17" s="70" t="s">
        <v>7</v>
      </c>
      <c r="K17" s="60" t="s">
        <v>8</v>
      </c>
      <c r="L17" s="60"/>
      <c r="M17" s="60"/>
      <c r="N17" s="60"/>
      <c r="O17" s="60"/>
      <c r="P17" s="60"/>
      <c r="Q17" s="60"/>
    </row>
    <row r="18" spans="1:17" ht="27.75" customHeight="1" x14ac:dyDescent="0.2">
      <c r="A18" s="63"/>
      <c r="B18" s="64"/>
      <c r="C18" s="64"/>
      <c r="D18" s="64"/>
      <c r="E18" s="64"/>
      <c r="F18" s="64"/>
      <c r="G18" s="64"/>
      <c r="H18" s="73"/>
      <c r="I18" s="74"/>
      <c r="J18" s="70"/>
      <c r="K18" s="60"/>
      <c r="L18" s="60"/>
      <c r="M18" s="60"/>
      <c r="N18" s="60"/>
      <c r="O18" s="60"/>
      <c r="P18" s="60"/>
      <c r="Q18" s="60"/>
    </row>
    <row r="19" spans="1:17" ht="27.75" customHeight="1" x14ac:dyDescent="0.2">
      <c r="A19" s="21"/>
      <c r="B19" s="21"/>
      <c r="C19" s="21"/>
      <c r="D19" s="21"/>
      <c r="E19" s="63" t="str">
        <f>IF(H17="","OR","")</f>
        <v>OR</v>
      </c>
      <c r="F19" s="63"/>
      <c r="G19" s="21"/>
      <c r="H19" s="21"/>
      <c r="I19" s="21"/>
      <c r="J19" s="21"/>
      <c r="K19" s="60"/>
      <c r="L19" s="60"/>
      <c r="M19" s="60"/>
      <c r="N19" s="60"/>
      <c r="O19" s="60"/>
      <c r="P19" s="60"/>
      <c r="Q19" s="60"/>
    </row>
    <row r="20" spans="1:17" ht="27.75" customHeight="1" x14ac:dyDescent="0.2">
      <c r="A20" s="21"/>
      <c r="B20" s="21"/>
      <c r="C20" s="21"/>
      <c r="D20" s="21"/>
      <c r="E20" s="63"/>
      <c r="F20" s="63"/>
      <c r="G20" s="21"/>
      <c r="H20" s="21"/>
      <c r="I20" s="21"/>
      <c r="J20" s="21"/>
      <c r="K20" s="60"/>
      <c r="L20" s="60"/>
      <c r="M20" s="60"/>
      <c r="N20" s="60"/>
      <c r="O20" s="60"/>
      <c r="P20" s="60"/>
      <c r="Q20" s="60"/>
    </row>
    <row r="21" spans="1:17" ht="27.75" customHeight="1" x14ac:dyDescent="0.2">
      <c r="A21" s="21"/>
      <c r="B21" s="64" t="str">
        <f>IF(H17="","What is the average salary of your entire workforce? (Eg. $45,000)","")</f>
        <v>What is the average salary of your entire workforce? (Eg. $45,000)</v>
      </c>
      <c r="C21" s="64"/>
      <c r="D21" s="64"/>
      <c r="E21" s="64"/>
      <c r="F21" s="64"/>
      <c r="G21" s="64"/>
      <c r="H21" s="69">
        <v>55000</v>
      </c>
      <c r="I21" s="69"/>
      <c r="J21" s="21"/>
      <c r="K21" s="60"/>
      <c r="L21" s="60"/>
      <c r="M21" s="60"/>
      <c r="N21" s="60"/>
      <c r="O21" s="60"/>
      <c r="P21" s="60"/>
      <c r="Q21" s="60"/>
    </row>
    <row r="22" spans="1:17" ht="27.75" customHeight="1" x14ac:dyDescent="0.2">
      <c r="A22" s="21"/>
      <c r="B22" s="64"/>
      <c r="C22" s="64"/>
      <c r="D22" s="64"/>
      <c r="E22" s="64"/>
      <c r="F22" s="64"/>
      <c r="G22" s="64"/>
      <c r="H22" s="69"/>
      <c r="I22" s="69"/>
      <c r="J22" s="21"/>
      <c r="K22" s="60"/>
      <c r="L22" s="60"/>
      <c r="M22" s="60"/>
      <c r="N22" s="60"/>
      <c r="O22" s="60"/>
      <c r="P22" s="60"/>
      <c r="Q22" s="60"/>
    </row>
    <row r="23" spans="1:17" ht="27.75" customHeight="1" x14ac:dyDescent="0.2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</row>
    <row r="24" spans="1:17" ht="27.75" customHeight="1" x14ac:dyDescent="0.2">
      <c r="A24" s="21"/>
      <c r="B24" s="64" t="str">
        <f>IF(H17="","How much do you want to budget for recognition as a percentage of salary (Eg. 0.80%)","")</f>
        <v>How much do you want to budget for recognition as a percentage of salary (Eg. 0.80%)</v>
      </c>
      <c r="C24" s="64"/>
      <c r="D24" s="64"/>
      <c r="E24" s="64"/>
      <c r="F24" s="64"/>
      <c r="G24" s="64"/>
      <c r="H24" s="80">
        <v>7.4999999999999997E-3</v>
      </c>
      <c r="I24" s="80"/>
      <c r="J24" s="87" t="str">
        <f>IF(H17="","👈","")</f>
        <v>👈</v>
      </c>
      <c r="K24" s="64" t="str">
        <f>IF(H17="","Type a number or click on the cell or use the dropdown to choose commonly used values.","")</f>
        <v>Type a number or click on the cell or use the dropdown to choose commonly used values.</v>
      </c>
      <c r="L24" s="64"/>
      <c r="M24" s="64"/>
      <c r="N24" s="64"/>
      <c r="O24" s="64"/>
      <c r="P24" s="64"/>
      <c r="Q24" s="64"/>
    </row>
    <row r="25" spans="1:17" ht="27.75" customHeight="1" x14ac:dyDescent="0.2">
      <c r="A25" s="21"/>
      <c r="B25" s="64"/>
      <c r="C25" s="64"/>
      <c r="D25" s="64"/>
      <c r="E25" s="64"/>
      <c r="F25" s="64"/>
      <c r="G25" s="64"/>
      <c r="H25" s="80"/>
      <c r="I25" s="80"/>
      <c r="J25" s="87"/>
      <c r="K25" s="64"/>
      <c r="L25" s="64"/>
      <c r="M25" s="64"/>
      <c r="N25" s="64"/>
      <c r="O25" s="64"/>
      <c r="P25" s="64"/>
      <c r="Q25" s="64"/>
    </row>
    <row r="26" spans="1:17" ht="27.7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1:17" ht="27.75" customHeight="1" x14ac:dyDescent="0.2">
      <c r="A27" s="86" t="s">
        <v>9</v>
      </c>
      <c r="B27" s="64" t="s">
        <v>10</v>
      </c>
      <c r="C27" s="64"/>
      <c r="D27" s="64"/>
      <c r="E27" s="64"/>
      <c r="F27" s="64"/>
      <c r="G27" s="64"/>
      <c r="H27" s="76">
        <v>1</v>
      </c>
      <c r="I27" s="77"/>
      <c r="J27" s="21"/>
      <c r="K27" s="21"/>
      <c r="L27" s="21"/>
      <c r="M27" s="21"/>
      <c r="N27" s="21"/>
      <c r="O27" s="21"/>
      <c r="P27" s="21"/>
      <c r="Q27" s="21"/>
    </row>
    <row r="28" spans="1:17" ht="27.75" customHeight="1" x14ac:dyDescent="0.2">
      <c r="A28" s="86"/>
      <c r="B28" s="64"/>
      <c r="C28" s="64"/>
      <c r="D28" s="64"/>
      <c r="E28" s="64"/>
      <c r="F28" s="64"/>
      <c r="G28" s="64"/>
      <c r="H28" s="78"/>
      <c r="I28" s="79"/>
      <c r="J28" s="21"/>
      <c r="K28" s="21"/>
      <c r="L28" s="21"/>
      <c r="M28" s="21"/>
      <c r="N28" s="21"/>
      <c r="O28" s="21"/>
      <c r="P28" s="21"/>
      <c r="Q28" s="21"/>
    </row>
    <row r="29" spans="1:17" ht="27.7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</row>
    <row r="30" spans="1:17" ht="27.75" customHeight="1" x14ac:dyDescent="0.2">
      <c r="A30" s="86" t="s">
        <v>11</v>
      </c>
      <c r="B30" s="64" t="s">
        <v>12</v>
      </c>
      <c r="C30" s="64"/>
      <c r="D30" s="64"/>
      <c r="E30" s="64"/>
      <c r="F30" s="64"/>
      <c r="G30" s="64"/>
      <c r="H30" s="81">
        <v>0.15</v>
      </c>
      <c r="I30" s="82"/>
      <c r="J30" s="70" t="str">
        <f>IF(AND(H30&lt;&gt;"",H30&lt;&gt;0),"👈","")</f>
        <v>👈</v>
      </c>
      <c r="K30" s="64" t="str">
        <f>IF(AND(H30&lt;&gt;"",H30&lt;&gt;0),"Unlike many vendors, Kudos® does not charge any rewards markup or fees.","")</f>
        <v>Unlike many vendors, Kudos® does not charge any rewards markup or fees.</v>
      </c>
      <c r="L30" s="64"/>
      <c r="M30" s="64"/>
      <c r="N30" s="64"/>
      <c r="O30" s="64"/>
      <c r="P30" s="64"/>
      <c r="Q30" s="64"/>
    </row>
    <row r="31" spans="1:17" ht="27.75" customHeight="1" x14ac:dyDescent="0.2">
      <c r="A31" s="86"/>
      <c r="B31" s="64"/>
      <c r="C31" s="64"/>
      <c r="D31" s="64"/>
      <c r="E31" s="64"/>
      <c r="F31" s="64"/>
      <c r="G31" s="64"/>
      <c r="H31" s="83"/>
      <c r="I31" s="84"/>
      <c r="J31" s="70"/>
      <c r="K31" s="64"/>
      <c r="L31" s="64"/>
      <c r="M31" s="64"/>
      <c r="N31" s="64"/>
      <c r="O31" s="64"/>
      <c r="P31" s="64"/>
      <c r="Q31" s="64"/>
    </row>
    <row r="32" spans="1:17" ht="27.75" customHeight="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2"/>
      <c r="L32" s="21"/>
      <c r="M32" s="21"/>
      <c r="N32" s="21"/>
      <c r="O32" s="21"/>
      <c r="P32" s="21"/>
      <c r="Q32" s="2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s="1" customFormat="1" x14ac:dyDescent="0.2"/>
    <row r="35" spans="1:11" s="1" customFormat="1" x14ac:dyDescent="0.2">
      <c r="B35" s="88" t="s">
        <v>13</v>
      </c>
      <c r="C35" s="89"/>
      <c r="D35" s="89"/>
      <c r="E35" s="89"/>
      <c r="F35" s="89"/>
      <c r="G35" s="89"/>
      <c r="H35" s="89"/>
      <c r="I35" s="89"/>
    </row>
    <row r="36" spans="1:11" s="1" customFormat="1" x14ac:dyDescent="0.2">
      <c r="B36" s="89"/>
      <c r="C36" s="89"/>
      <c r="D36" s="89"/>
      <c r="E36" s="89"/>
      <c r="F36" s="89"/>
      <c r="G36" s="89"/>
      <c r="H36" s="89"/>
      <c r="I36" s="89"/>
    </row>
    <row r="37" spans="1:11" s="1" customFormat="1" x14ac:dyDescent="0.2"/>
    <row r="38" spans="1:11" s="1" customFormat="1" x14ac:dyDescent="0.2"/>
    <row r="39" spans="1:11" s="1" customFormat="1" x14ac:dyDescent="0.2"/>
    <row r="40" spans="1:11" s="1" customFormat="1" x14ac:dyDescent="0.2"/>
    <row r="41" spans="1:11" s="1" customFormat="1" x14ac:dyDescent="0.2"/>
    <row r="42" spans="1:11" s="1" customFormat="1" x14ac:dyDescent="0.2"/>
    <row r="43" spans="1:11" s="1" customFormat="1" x14ac:dyDescent="0.2">
      <c r="A43" s="85">
        <f>tool_version</f>
        <v>1.3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</row>
    <row r="44" spans="1:11" s="1" customFormat="1" x14ac:dyDescent="0.2">
      <c r="A44" s="75" t="s">
        <v>14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</row>
    <row r="45" spans="1:11" s="1" customFormat="1" x14ac:dyDescent="0.2"/>
    <row r="46" spans="1:11" s="1" customFormat="1" x14ac:dyDescent="0.2"/>
    <row r="47" spans="1:11" s="1" customFormat="1" x14ac:dyDescent="0.2"/>
    <row r="48" spans="1:11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="1" customFormat="1" x14ac:dyDescent="0.2"/>
    <row r="82" s="1" customFormat="1" x14ac:dyDescent="0.2"/>
    <row r="83" s="1" customFormat="1" x14ac:dyDescent="0.2"/>
  </sheetData>
  <mergeCells count="29">
    <mergeCell ref="A44:K44"/>
    <mergeCell ref="B27:G28"/>
    <mergeCell ref="H27:I28"/>
    <mergeCell ref="B24:G25"/>
    <mergeCell ref="H24:I25"/>
    <mergeCell ref="B30:G31"/>
    <mergeCell ref="H30:I31"/>
    <mergeCell ref="A43:K43"/>
    <mergeCell ref="A27:A28"/>
    <mergeCell ref="A30:A31"/>
    <mergeCell ref="J30:J31"/>
    <mergeCell ref="J24:J25"/>
    <mergeCell ref="K24:Q25"/>
    <mergeCell ref="K30:Q31"/>
    <mergeCell ref="B35:I36"/>
    <mergeCell ref="D2:J7"/>
    <mergeCell ref="K17:Q22"/>
    <mergeCell ref="A9:I9"/>
    <mergeCell ref="A10:I12"/>
    <mergeCell ref="A14:A15"/>
    <mergeCell ref="A17:A18"/>
    <mergeCell ref="B14:G15"/>
    <mergeCell ref="H14:I15"/>
    <mergeCell ref="B21:G22"/>
    <mergeCell ref="H21:I22"/>
    <mergeCell ref="J17:J18"/>
    <mergeCell ref="B17:G18"/>
    <mergeCell ref="H17:I18"/>
    <mergeCell ref="E19:F20"/>
  </mergeCells>
  <conditionalFormatting sqref="H21 H24">
    <cfRule type="expression" dxfId="19" priority="1">
      <formula>$H$17=""</formula>
    </cfRule>
    <cfRule type="expression" dxfId="18" priority="2">
      <formula>$H$17&lt;&gt;""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Error" error="You must choose a value between 1 and 3. You can type this number or use the dropdown to select." xr:uid="{347269CA-D115-4F21-90F7-E328EF69CF70}">
          <x14:formula1>
            <xm:f>Settings!$B$2:$B$4</xm:f>
          </x14:formula1>
          <xm:sqref>H27:I28</xm:sqref>
        </x14:dataValidation>
        <x14:dataValidation type="list" allowBlank="1" showInputMessage="1" xr:uid="{DFC06457-FA60-476B-8BAF-15219E803518}">
          <x14:formula1>
            <xm:f>Settings!$C$2:$C$7</xm:f>
          </x14:formula1>
          <xm:sqref>H17:I18</xm:sqref>
        </x14:dataValidation>
        <x14:dataValidation type="list" allowBlank="1" showInputMessage="1" xr:uid="{7E9B6D5D-0FF1-4589-8BC9-D3AE0FBBBFC2}">
          <x14:formula1>
            <xm:f>Settings!$D$2:$D$7</xm:f>
          </x14:formula1>
          <xm:sqref>H24:I25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C1B23-5083-4DF8-AE9B-617050F4D6F4}">
  <dimension ref="A1:AM94"/>
  <sheetViews>
    <sheetView topLeftCell="A27" zoomScale="130" zoomScaleNormal="130" workbookViewId="0">
      <selection activeCell="A56" sqref="A56"/>
    </sheetView>
  </sheetViews>
  <sheetFormatPr baseColWidth="10" defaultColWidth="8.83203125" defaultRowHeight="15" x14ac:dyDescent="0.2"/>
  <cols>
    <col min="12" max="39" width="8.83203125" style="1"/>
  </cols>
  <sheetData>
    <row r="1" spans="1:12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</row>
    <row r="2" spans="1:12" x14ac:dyDescent="0.2">
      <c r="A2" s="8"/>
      <c r="B2" s="8"/>
      <c r="C2" s="8"/>
      <c r="D2" s="59" t="s">
        <v>0</v>
      </c>
      <c r="E2" s="59"/>
      <c r="F2" s="59"/>
      <c r="G2" s="59"/>
      <c r="H2" s="59"/>
      <c r="I2" s="59"/>
      <c r="J2" s="59"/>
      <c r="K2" s="8"/>
    </row>
    <row r="3" spans="1:12" x14ac:dyDescent="0.2">
      <c r="A3" s="8"/>
      <c r="B3" s="8"/>
      <c r="C3" s="8"/>
      <c r="D3" s="59"/>
      <c r="E3" s="59"/>
      <c r="F3" s="59"/>
      <c r="G3" s="59"/>
      <c r="H3" s="59"/>
      <c r="I3" s="59"/>
      <c r="J3" s="59"/>
      <c r="K3" s="8"/>
    </row>
    <row r="4" spans="1:12" x14ac:dyDescent="0.2">
      <c r="A4" s="8"/>
      <c r="B4" s="8"/>
      <c r="C4" s="8"/>
      <c r="D4" s="59"/>
      <c r="E4" s="59"/>
      <c r="F4" s="59"/>
      <c r="G4" s="59"/>
      <c r="H4" s="59"/>
      <c r="I4" s="59"/>
      <c r="J4" s="59"/>
      <c r="K4" s="8"/>
    </row>
    <row r="5" spans="1:12" x14ac:dyDescent="0.2">
      <c r="A5" s="8"/>
      <c r="B5" s="8"/>
      <c r="C5" s="8"/>
      <c r="D5" s="59"/>
      <c r="E5" s="59"/>
      <c r="F5" s="59"/>
      <c r="G5" s="59"/>
      <c r="H5" s="59"/>
      <c r="I5" s="59"/>
      <c r="J5" s="59"/>
      <c r="K5" s="8"/>
    </row>
    <row r="6" spans="1:12" x14ac:dyDescent="0.2">
      <c r="A6" s="8"/>
      <c r="B6" s="8"/>
      <c r="C6" s="8"/>
      <c r="D6" s="59"/>
      <c r="E6" s="59"/>
      <c r="F6" s="59"/>
      <c r="G6" s="59"/>
      <c r="H6" s="59"/>
      <c r="I6" s="59"/>
      <c r="J6" s="59"/>
      <c r="K6" s="8"/>
    </row>
    <row r="7" spans="1:12" x14ac:dyDescent="0.2">
      <c r="A7" s="8"/>
      <c r="B7" s="8"/>
      <c r="C7" s="8"/>
      <c r="D7" s="59"/>
      <c r="E7" s="59"/>
      <c r="F7" s="59"/>
      <c r="G7" s="59"/>
      <c r="H7" s="59"/>
      <c r="I7" s="59"/>
      <c r="J7" s="59"/>
      <c r="K7" s="8"/>
    </row>
    <row r="8" spans="1:12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</row>
    <row r="9" spans="1:12" x14ac:dyDescent="0.2">
      <c r="A9" s="106" t="s">
        <v>15</v>
      </c>
      <c r="B9" s="106"/>
      <c r="C9" s="106"/>
      <c r="D9" s="106"/>
      <c r="E9" s="106"/>
      <c r="F9" s="106"/>
      <c r="G9" s="106"/>
      <c r="H9" s="106"/>
      <c r="I9" s="106"/>
      <c r="J9" s="1"/>
      <c r="K9" s="1"/>
    </row>
    <row r="10" spans="1:12" ht="14.5" customHeight="1" x14ac:dyDescent="0.2">
      <c r="A10" s="107" t="s">
        <v>16</v>
      </c>
      <c r="B10" s="107"/>
      <c r="C10" s="107"/>
      <c r="D10" s="107"/>
      <c r="E10" s="107"/>
      <c r="F10" s="107"/>
      <c r="G10" s="107"/>
      <c r="H10" s="107"/>
      <c r="I10" s="107"/>
      <c r="J10" s="1"/>
      <c r="K10" s="1"/>
    </row>
    <row r="11" spans="1:12" ht="24.75" customHeight="1" x14ac:dyDescent="0.2">
      <c r="A11" s="107"/>
      <c r="B11" s="107"/>
      <c r="C11" s="107"/>
      <c r="D11" s="107"/>
      <c r="E11" s="107"/>
      <c r="F11" s="107"/>
      <c r="G11" s="107"/>
      <c r="H11" s="107"/>
      <c r="I11" s="107"/>
      <c r="J11" s="1"/>
      <c r="K11" s="1"/>
    </row>
    <row r="12" spans="1:12" ht="33" customHeight="1" x14ac:dyDescent="0.2">
      <c r="A12" s="107"/>
      <c r="B12" s="107"/>
      <c r="C12" s="107"/>
      <c r="D12" s="107"/>
      <c r="E12" s="107"/>
      <c r="F12" s="107"/>
      <c r="G12" s="107"/>
      <c r="H12" s="107"/>
      <c r="I12" s="107"/>
      <c r="J12" s="1"/>
      <c r="K12" s="1"/>
    </row>
    <row r="13" spans="1:12" ht="16" thickBo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99" t="str">
        <f>IF(H14="Yes","Year 1 Employee Count","")</f>
        <v>Year 1 Employee Count</v>
      </c>
      <c r="L13" s="99"/>
    </row>
    <row r="14" spans="1:12" ht="28" customHeight="1" x14ac:dyDescent="0.2">
      <c r="A14" s="105" t="s">
        <v>3</v>
      </c>
      <c r="B14" s="90" t="str">
        <f>IF('Start Here 👉 Business Details'!H27=3,"Do you expect your employee count to change in Years 2 and 3?", IF('Start Here 👉 Business Details'!H27=2,"Do you expect your employee count to change in Year 2?","To use this feature, please change your budget to a 2 or 3-year forecast."))</f>
        <v>To use this feature, please change your budget to a 2 or 3-year forecast.</v>
      </c>
      <c r="C14" s="90"/>
      <c r="D14" s="90"/>
      <c r="E14" s="90"/>
      <c r="F14" s="90"/>
      <c r="G14" s="90"/>
      <c r="H14" s="65" t="s">
        <v>17</v>
      </c>
      <c r="I14" s="66"/>
      <c r="J14" s="1"/>
      <c r="K14" s="104">
        <f>IF(H14="Yes",'Start Here 👉 Business Details'!H14,"")</f>
        <v>550</v>
      </c>
      <c r="L14" s="104"/>
    </row>
    <row r="15" spans="1:12" ht="28" customHeight="1" thickBot="1" x14ac:dyDescent="0.25">
      <c r="A15" s="105"/>
      <c r="B15" s="90"/>
      <c r="C15" s="90"/>
      <c r="D15" s="90"/>
      <c r="E15" s="90"/>
      <c r="F15" s="90"/>
      <c r="G15" s="90"/>
      <c r="H15" s="67"/>
      <c r="I15" s="68"/>
      <c r="J15" s="1"/>
      <c r="K15" s="104"/>
      <c r="L15" s="104"/>
    </row>
    <row r="16" spans="1:12" ht="27.7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23" ht="27.75" customHeight="1" x14ac:dyDescent="0.2">
      <c r="A17" s="8"/>
      <c r="B17" s="90" t="str">
        <f>IF(AND(H14&lt;&gt;"No",'Start Here 👉 Business Details'!H27&gt;1),"What do you expect your employee count to be in Year 2","")</f>
        <v/>
      </c>
      <c r="C17" s="90"/>
      <c r="D17" s="90"/>
      <c r="E17" s="90"/>
      <c r="F17" s="90"/>
      <c r="G17" s="90"/>
      <c r="H17" s="91">
        <v>650</v>
      </c>
      <c r="I17" s="91"/>
      <c r="J17" s="8"/>
      <c r="K17" s="99" t="str">
        <f>IF(AND(H17&gt;0,H14="Yes",'Start Here 👉 Business Details'!H27&gt;1),"Headcount Change YR 2","")</f>
        <v/>
      </c>
      <c r="L17" s="99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ht="27.75" customHeight="1" x14ac:dyDescent="0.2">
      <c r="A18" s="8"/>
      <c r="B18" s="90"/>
      <c r="C18" s="90"/>
      <c r="D18" s="90"/>
      <c r="E18" s="90"/>
      <c r="F18" s="90"/>
      <c r="G18" s="90"/>
      <c r="H18" s="91"/>
      <c r="I18" s="91"/>
      <c r="J18" s="8"/>
      <c r="K18" s="97" t="str">
        <f>IF(AND(H17&gt;0,H14="Yes",'Start Here 👉 Business Details'!H27&gt;1),(H17-K14)/K14,"")</f>
        <v/>
      </c>
      <c r="L18" s="97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ht="27.75" customHeight="1" x14ac:dyDescent="0.2">
      <c r="A19" s="8"/>
      <c r="B19" s="1"/>
      <c r="C19" s="1"/>
      <c r="D19" s="1"/>
      <c r="E19" s="1"/>
      <c r="F19" s="1"/>
      <c r="G19" s="1"/>
      <c r="H19" s="1"/>
      <c r="I19" s="1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ht="27.75" customHeight="1" x14ac:dyDescent="0.2">
      <c r="A20" s="8"/>
      <c r="B20" s="90" t="str">
        <f>IF(AND(H14&lt;&gt;"No",'Start Here 👉 Business Details'!H27&gt;2),"What do you expect your employee count to be in Year 3","")</f>
        <v/>
      </c>
      <c r="C20" s="90"/>
      <c r="D20" s="90"/>
      <c r="E20" s="90"/>
      <c r="F20" s="90"/>
      <c r="G20" s="90"/>
      <c r="H20" s="91">
        <v>700</v>
      </c>
      <c r="I20" s="91"/>
      <c r="J20" s="8"/>
      <c r="K20" s="99" t="str">
        <f>IF(AND(H20&gt;0,H14="Yes",'Start Here 👉 Business Details'!H27&gt;2),"Headcount Change YR 3","")</f>
        <v/>
      </c>
      <c r="L20" s="99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27.75" customHeight="1" x14ac:dyDescent="0.2">
      <c r="A21" s="8"/>
      <c r="B21" s="90"/>
      <c r="C21" s="90"/>
      <c r="D21" s="90"/>
      <c r="E21" s="90"/>
      <c r="F21" s="90"/>
      <c r="G21" s="90"/>
      <c r="H21" s="91"/>
      <c r="I21" s="91"/>
      <c r="J21" s="8"/>
      <c r="K21" s="97" t="str">
        <f>IF(AND(H20&gt;0,H14="Yes",'Start Here 👉 Business Details'!H27&gt;2),(H20-H17)/H17,"")</f>
        <v/>
      </c>
      <c r="L21" s="97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 ht="27.75" customHeight="1" thickBo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 ht="27.75" customHeight="1" x14ac:dyDescent="0.2">
      <c r="A23" s="105" t="s">
        <v>5</v>
      </c>
      <c r="B23" s="90" t="s">
        <v>18</v>
      </c>
      <c r="C23" s="90"/>
      <c r="D23" s="90"/>
      <c r="E23" s="90"/>
      <c r="F23" s="90"/>
      <c r="G23" s="90"/>
      <c r="H23" s="100" t="s">
        <v>19</v>
      </c>
      <c r="I23" s="101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W23" s="8"/>
    </row>
    <row r="24" spans="1:23" ht="27.75" customHeight="1" thickBot="1" x14ac:dyDescent="0.25">
      <c r="A24" s="105"/>
      <c r="B24" s="90"/>
      <c r="C24" s="90"/>
      <c r="D24" s="90"/>
      <c r="E24" s="90"/>
      <c r="F24" s="90"/>
      <c r="G24" s="90"/>
      <c r="H24" s="102"/>
      <c r="I24" s="103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W24" s="8"/>
    </row>
    <row r="25" spans="1:23" ht="27.75" customHeight="1" thickBot="1" x14ac:dyDescent="0.25">
      <c r="A25" s="3"/>
      <c r="B25" s="18"/>
      <c r="C25" s="18"/>
      <c r="D25" s="18"/>
      <c r="E25" s="18"/>
      <c r="F25" s="18"/>
      <c r="G25" s="1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W25" s="8"/>
    </row>
    <row r="26" spans="1:23" ht="27.75" customHeight="1" x14ac:dyDescent="0.2">
      <c r="A26" s="105" t="s">
        <v>9</v>
      </c>
      <c r="B26" s="90" t="s">
        <v>20</v>
      </c>
      <c r="C26" s="90"/>
      <c r="D26" s="90"/>
      <c r="E26" s="90"/>
      <c r="F26" s="90"/>
      <c r="G26" s="90"/>
      <c r="H26" s="92">
        <v>12</v>
      </c>
      <c r="I26" s="93"/>
      <c r="J26" s="1"/>
      <c r="K26" s="8"/>
      <c r="L26" s="8"/>
      <c r="M26" s="8"/>
      <c r="N26" s="8"/>
    </row>
    <row r="27" spans="1:23" ht="27.75" customHeight="1" thickBot="1" x14ac:dyDescent="0.25">
      <c r="A27" s="105"/>
      <c r="B27" s="90"/>
      <c r="C27" s="90"/>
      <c r="D27" s="90"/>
      <c r="E27" s="90"/>
      <c r="F27" s="90"/>
      <c r="G27" s="90"/>
      <c r="H27" s="94"/>
      <c r="I27" s="95"/>
      <c r="J27" s="8"/>
      <c r="K27" s="8"/>
      <c r="L27" s="8"/>
      <c r="M27" s="8"/>
      <c r="N27" s="8"/>
    </row>
    <row r="28" spans="1:23" ht="27.75" customHeight="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P28" s="3"/>
    </row>
    <row r="29" spans="1:23" ht="27.75" customHeight="1" x14ac:dyDescent="0.2">
      <c r="A29" s="8"/>
      <c r="B29" s="18"/>
      <c r="C29" s="18"/>
      <c r="D29" s="18"/>
      <c r="E29" s="63" t="str">
        <f>IF(OR(H26&lt;0,H26=""),"OR","")</f>
        <v/>
      </c>
      <c r="F29" s="63"/>
      <c r="G29" s="18"/>
      <c r="H29" s="24"/>
      <c r="I29" s="24"/>
      <c r="J29" s="8"/>
      <c r="K29" s="8"/>
      <c r="L29" s="8"/>
      <c r="M29" s="8"/>
    </row>
    <row r="30" spans="1:23" ht="27.75" customHeight="1" x14ac:dyDescent="0.2">
      <c r="A30" s="8"/>
      <c r="B30" s="18"/>
      <c r="C30" s="18"/>
      <c r="D30" s="18"/>
      <c r="E30" s="63"/>
      <c r="F30" s="63"/>
      <c r="G30" s="18"/>
      <c r="H30" s="24"/>
      <c r="I30" s="24"/>
      <c r="J30" s="8"/>
      <c r="K30" s="8"/>
      <c r="L30" s="8"/>
      <c r="M30" s="8"/>
      <c r="P30" s="8"/>
    </row>
    <row r="31" spans="1:23" ht="27.75" customHeight="1" x14ac:dyDescent="0.2">
      <c r="A31" s="8"/>
      <c r="B31" s="18"/>
      <c r="C31" s="18"/>
      <c r="D31" s="18"/>
      <c r="E31" s="18"/>
      <c r="F31" s="18"/>
      <c r="G31" s="18"/>
      <c r="H31" s="24"/>
      <c r="I31" s="24"/>
      <c r="J31" s="8"/>
      <c r="K31" s="8"/>
      <c r="L31" s="8"/>
      <c r="M31" s="8"/>
      <c r="P31" s="8"/>
    </row>
    <row r="32" spans="1:23" ht="27.75" customHeight="1" x14ac:dyDescent="0.2">
      <c r="A32" s="8"/>
      <c r="B32" s="90" t="str">
        <f>IF(OR(H26&lt;0,H26=""),"How many employees currently administer your employee recognition program? (eg. 2)","")</f>
        <v/>
      </c>
      <c r="C32" s="90"/>
      <c r="D32" s="90"/>
      <c r="E32" s="90"/>
      <c r="F32" s="90"/>
      <c r="G32" s="90"/>
      <c r="H32" s="91">
        <v>2</v>
      </c>
      <c r="I32" s="91"/>
      <c r="J32" s="8"/>
      <c r="K32" s="8"/>
      <c r="L32" s="8"/>
      <c r="M32" s="8"/>
      <c r="N32" s="8"/>
      <c r="O32" s="8"/>
      <c r="P32" s="8"/>
    </row>
    <row r="33" spans="1:16" ht="27.75" customHeight="1" x14ac:dyDescent="0.2">
      <c r="A33" s="8"/>
      <c r="B33" s="90"/>
      <c r="C33" s="90"/>
      <c r="D33" s="90"/>
      <c r="E33" s="90"/>
      <c r="F33" s="90"/>
      <c r="G33" s="90"/>
      <c r="H33" s="91"/>
      <c r="I33" s="91"/>
      <c r="J33" s="8"/>
      <c r="K33" s="8"/>
      <c r="L33" s="8"/>
      <c r="M33" s="8"/>
      <c r="N33" s="8"/>
      <c r="O33" s="8"/>
      <c r="P33" s="8"/>
    </row>
    <row r="34" spans="1:16" ht="27.7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ht="27.75" customHeight="1" x14ac:dyDescent="0.2">
      <c r="A35" s="8"/>
      <c r="B35" s="90" t="str">
        <f>IF(OR(H26&lt;0,H26=""),"What is the average annual salary of the team that administers your current employee recognition solution? (eg. $75,000)","")</f>
        <v/>
      </c>
      <c r="C35" s="90"/>
      <c r="D35" s="90"/>
      <c r="E35" s="90"/>
      <c r="F35" s="90"/>
      <c r="G35" s="90"/>
      <c r="H35" s="69">
        <v>65000</v>
      </c>
      <c r="I35" s="69"/>
      <c r="J35" s="8"/>
      <c r="K35" s="1"/>
    </row>
    <row r="36" spans="1:16" ht="27.75" customHeight="1" x14ac:dyDescent="0.2">
      <c r="A36" s="8"/>
      <c r="B36" s="90"/>
      <c r="C36" s="90"/>
      <c r="D36" s="90"/>
      <c r="E36" s="90"/>
      <c r="F36" s="90"/>
      <c r="G36" s="90"/>
      <c r="H36" s="69"/>
      <c r="I36" s="69"/>
      <c r="J36" s="8"/>
      <c r="K36" s="90" t="str">
        <f>IF(AND(H24&lt;&gt;"",H24&lt;&gt;0),"Unlike many vendors, Kudos® does not charge any rewards markup or fees.","")</f>
        <v/>
      </c>
      <c r="L36" s="90"/>
      <c r="M36" s="90"/>
      <c r="N36" s="90"/>
      <c r="O36" s="90"/>
    </row>
    <row r="37" spans="1:16" ht="27.7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90"/>
      <c r="L37" s="90"/>
      <c r="M37" s="90"/>
      <c r="N37" s="90"/>
      <c r="O37" s="90"/>
    </row>
    <row r="38" spans="1:16" ht="27.75" customHeight="1" x14ac:dyDescent="0.2">
      <c r="A38" s="8"/>
      <c r="B38" s="90" t="str">
        <f>IF(OR(H26&lt;0,H26=""),"How many hours do you spend each month administering your existing employee recognition program or software? (eg. 12)","")</f>
        <v/>
      </c>
      <c r="C38" s="90"/>
      <c r="D38" s="90"/>
      <c r="E38" s="90"/>
      <c r="F38" s="90"/>
      <c r="G38" s="90"/>
      <c r="H38" s="96">
        <v>6</v>
      </c>
      <c r="I38" s="96"/>
      <c r="J38" s="1"/>
    </row>
    <row r="39" spans="1:16" ht="27.75" customHeight="1" x14ac:dyDescent="0.2">
      <c r="A39" s="8"/>
      <c r="B39" s="90"/>
      <c r="C39" s="90"/>
      <c r="D39" s="90"/>
      <c r="E39" s="90"/>
      <c r="F39" s="90"/>
      <c r="G39" s="90"/>
      <c r="H39" s="96"/>
      <c r="I39" s="96"/>
      <c r="J39" s="1"/>
      <c r="K39" s="1"/>
    </row>
    <row r="40" spans="1:16" ht="27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6" ht="27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6" s="1" customFormat="1" x14ac:dyDescent="0.2"/>
    <row r="43" spans="1:16" s="1" customFormat="1" x14ac:dyDescent="0.2">
      <c r="B43" s="98" t="s">
        <v>21</v>
      </c>
      <c r="C43" s="98"/>
      <c r="D43" s="98"/>
      <c r="E43" s="98"/>
      <c r="F43" s="98"/>
      <c r="G43" s="98"/>
      <c r="H43" s="98"/>
      <c r="I43" s="98"/>
    </row>
    <row r="44" spans="1:16" s="1" customFormat="1" x14ac:dyDescent="0.2"/>
    <row r="45" spans="1:16" s="1" customFormat="1" x14ac:dyDescent="0.2"/>
    <row r="46" spans="1:16" s="1" customFormat="1" x14ac:dyDescent="0.2"/>
    <row r="47" spans="1:16" s="1" customFormat="1" x14ac:dyDescent="0.2"/>
    <row r="48" spans="1:16" s="1" customFormat="1" x14ac:dyDescent="0.2"/>
    <row r="49" spans="1:11" s="1" customFormat="1" x14ac:dyDescent="0.2"/>
    <row r="50" spans="1:11" s="1" customFormat="1" x14ac:dyDescent="0.2"/>
    <row r="51" spans="1:11" s="1" customFormat="1" x14ac:dyDescent="0.2"/>
    <row r="52" spans="1:11" s="1" customFormat="1" x14ac:dyDescent="0.2"/>
    <row r="53" spans="1:11" s="1" customFormat="1" x14ac:dyDescent="0.2"/>
    <row r="54" spans="1:11" s="1" customFormat="1" x14ac:dyDescent="0.2">
      <c r="A54" s="85">
        <f>tool_version</f>
        <v>1.3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</row>
    <row r="55" spans="1:11" s="1" customFormat="1" x14ac:dyDescent="0.2">
      <c r="A55" s="75" t="s">
        <v>14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</row>
    <row r="56" spans="1:11" s="1" customFormat="1" x14ac:dyDescent="0.2"/>
    <row r="57" spans="1:11" s="1" customFormat="1" x14ac:dyDescent="0.2"/>
    <row r="58" spans="1:11" s="1" customFormat="1" x14ac:dyDescent="0.2"/>
    <row r="59" spans="1:11" s="1" customFormat="1" x14ac:dyDescent="0.2"/>
    <row r="60" spans="1:11" s="1" customFormat="1" x14ac:dyDescent="0.2"/>
    <row r="61" spans="1:11" s="1" customFormat="1" x14ac:dyDescent="0.2"/>
    <row r="62" spans="1:11" s="1" customFormat="1" x14ac:dyDescent="0.2"/>
    <row r="63" spans="1:11" s="1" customFormat="1" x14ac:dyDescent="0.2"/>
    <row r="64" spans="1:11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</sheetData>
  <mergeCells count="33">
    <mergeCell ref="K14:L15"/>
    <mergeCell ref="K13:L13"/>
    <mergeCell ref="A26:A27"/>
    <mergeCell ref="A9:I9"/>
    <mergeCell ref="A10:I12"/>
    <mergeCell ref="A14:A15"/>
    <mergeCell ref="B14:G15"/>
    <mergeCell ref="H14:I15"/>
    <mergeCell ref="A23:A24"/>
    <mergeCell ref="B38:G39"/>
    <mergeCell ref="H38:I39"/>
    <mergeCell ref="H20:I21"/>
    <mergeCell ref="A55:K55"/>
    <mergeCell ref="B17:G18"/>
    <mergeCell ref="H17:I18"/>
    <mergeCell ref="B20:G21"/>
    <mergeCell ref="K21:L21"/>
    <mergeCell ref="K36:O37"/>
    <mergeCell ref="B43:I43"/>
    <mergeCell ref="A54:K54"/>
    <mergeCell ref="K18:L18"/>
    <mergeCell ref="K17:L17"/>
    <mergeCell ref="K20:L20"/>
    <mergeCell ref="B23:G24"/>
    <mergeCell ref="H23:I24"/>
    <mergeCell ref="D2:J7"/>
    <mergeCell ref="B32:G33"/>
    <mergeCell ref="H32:I33"/>
    <mergeCell ref="B35:G36"/>
    <mergeCell ref="H35:I36"/>
    <mergeCell ref="B26:G27"/>
    <mergeCell ref="H26:I27"/>
    <mergeCell ref="E29:F30"/>
  </mergeCells>
  <conditionalFormatting sqref="H32">
    <cfRule type="expression" dxfId="13" priority="7">
      <formula>OR(H26&lt;0,H26="")</formula>
    </cfRule>
    <cfRule type="expression" dxfId="12" priority="8">
      <formula>OR(H26&gt;0,H26&lt;&gt;"")</formula>
    </cfRule>
  </conditionalFormatting>
  <conditionalFormatting sqref="H35">
    <cfRule type="expression" dxfId="11" priority="2">
      <formula>OR(H26&lt;0,H26="")</formula>
    </cfRule>
    <cfRule type="expression" dxfId="10" priority="3">
      <formula>OR(H26&gt;0,H26&lt;&gt;"")</formula>
    </cfRule>
  </conditionalFormatting>
  <conditionalFormatting sqref="H38">
    <cfRule type="expression" dxfId="9" priority="1">
      <formula>OR(H26&lt;0,H26="")</formula>
    </cfRule>
    <cfRule type="expression" dxfId="8" priority="5">
      <formula>OR(H26&gt;0,H26&lt;&gt;"")</formula>
    </cfRule>
  </conditionalFormatting>
  <conditionalFormatting sqref="K14:L15">
    <cfRule type="expression" dxfId="7" priority="21">
      <formula>$H$14&lt;&gt;"Yes"</formula>
    </cfRule>
  </conditionalFormatting>
  <dataValidations count="2">
    <dataValidation allowBlank="1" showInputMessage="1" sqref="H20:I21" xr:uid="{5ED25B16-7C04-45A8-A3BE-BC98453BC86F}"/>
    <dataValidation type="decimal" operator="greaterThan" allowBlank="1" showInputMessage="1" showErrorMessage="1" errorTitle="Whoopsie-doodles!" error="Please input a positive number without any letters or symbols." sqref="H29:I33 H35:I36" xr:uid="{0AFF4B0F-1B69-4D83-80E5-AB4869033B3A}">
      <formula1>0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0A517915-11F2-4EA0-8568-53ACA801281F}">
            <xm:f>AND(H14&lt;&gt;"No",'Start Here 👉 Business Details'!H27&gt;1)</xm:f>
            <x14:dxf>
              <font>
                <color auto="1"/>
              </font>
              <fill>
                <patternFill>
                  <bgColor theme="7" tint="0.79998168889431442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14:cfRule type="expression" priority="23" id="{6E0B373F-FFDA-4B3A-A506-21C7C119F65E}">
            <xm:f>OR(H14="No",'Start Here 👉 Business Details'!H27=1)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H17</xm:sqref>
        </x14:conditionalFormatting>
        <x14:conditionalFormatting xmlns:xm="http://schemas.microsoft.com/office/excel/2006/main">
          <x14:cfRule type="expression" priority="19" id="{06348195-649C-42CC-B092-51DDE15D38E5}">
            <xm:f>AND(H14&lt;&gt;"No",'Start Here 👉 Business Details'!H27&gt;2)</xm:f>
            <x14:dxf>
              <fill>
                <patternFill>
                  <bgColor theme="7" tint="0.79998168889431442"/>
                </patternFill>
              </fill>
              <border>
                <left style="thin">
                  <color theme="1"/>
                </left>
                <right style="thin">
                  <color theme="1"/>
                </right>
                <top style="thin">
                  <color theme="1"/>
                </top>
                <bottom style="thin">
                  <color theme="1"/>
                </bottom>
              </border>
            </x14:dxf>
          </x14:cfRule>
          <x14:cfRule type="expression" priority="20" id="{66D93BE7-5841-45A2-A3E8-96447227EC7C}">
            <xm:f>OR(H14="No",'Start Here 👉 Business Details'!H27&lt;3)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vertical/>
                <horizontal/>
              </border>
            </x14:dxf>
          </x14:cfRule>
          <xm:sqref>H20</xm:sqref>
        </x14:conditionalFormatting>
        <x14:conditionalFormatting xmlns:xm="http://schemas.microsoft.com/office/excel/2006/main">
          <x14:cfRule type="expression" priority="18" id="{5B35B87E-3B8D-49EC-BF8F-22B26AE30518}">
            <xm:f>OR($H$14&lt;&gt;"Yes",AND('Start Here 👉 Business Details'!$H$27&lt;&gt;3,'Start Here 👉 Business Details'!$H$27&lt;&gt;2),OR($H$17=0,$H$17=""))</xm:f>
            <x14:dxf>
              <fill>
                <patternFill>
                  <bgColor theme="0"/>
                </patternFill>
              </fill>
              <border>
                <vertical/>
                <horizontal/>
              </border>
            </x14:dxf>
          </x14:cfRule>
          <xm:sqref>K18:L18</xm:sqref>
        </x14:conditionalFormatting>
        <x14:conditionalFormatting xmlns:xm="http://schemas.microsoft.com/office/excel/2006/main">
          <x14:cfRule type="expression" priority="17" id="{FFF53072-75BC-4102-A47A-9805FC6DD2FE}">
            <xm:f>OR($H$14&lt;&gt;"Yes",'Start Here 👉 Business Details'!$H$27&lt;&gt;3,OR($H$20=0,$H$20=""))</xm:f>
            <x14:dxf>
              <fill>
                <patternFill>
                  <bgColor theme="0"/>
                </patternFill>
              </fill>
              <border>
                <vertical/>
                <horizontal/>
              </border>
            </x14:dxf>
          </x14:cfRule>
          <xm:sqref>K21:L21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Whoops!" error="Please use the dropdown to select a value or type &quot;Yes&quot; or &quot;No&quot; in this cell." xr:uid="{CA04DFBD-C68E-4C2C-AB21-68354CF2438B}">
          <x14:formula1>
            <xm:f>Settings!$E$2:$E$3</xm:f>
          </x14:formula1>
          <xm:sqref>H14:I15</xm:sqref>
        </x14:dataValidation>
        <x14:dataValidation type="list" allowBlank="1" showInputMessage="1" showErrorMessage="1" errorTitle="Whoopsie-doodles!" error="Please use the dropdown menu button next to the cell to select a value." xr:uid="{70AB8F23-8909-4952-80F5-14462DCA1BBB}">
          <x14:formula1>
            <xm:f>Settings!$F$2:$F$7</xm:f>
          </x14:formula1>
          <xm:sqref>H23:I24</xm:sqref>
        </x14:dataValidation>
        <x14:dataValidation type="list" operator="greaterThan" allowBlank="1" showInputMessage="1" errorTitle="Whoopsie-doodles!" error="Please input a positive number without any letters or symbols." xr:uid="{E6C1BBE3-6A10-416D-BEAC-9AD781E454CA}">
          <x14:formula1>
            <xm:f>Settings!$G$2:$G$7</xm:f>
          </x14:formula1>
          <xm:sqref>H26:I27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A1:AM98"/>
  <sheetViews>
    <sheetView topLeftCell="A28" zoomScale="115" zoomScaleNormal="115" workbookViewId="0">
      <selection activeCell="A57" sqref="A57"/>
    </sheetView>
  </sheetViews>
  <sheetFormatPr baseColWidth="10" defaultColWidth="8.83203125" defaultRowHeight="15" x14ac:dyDescent="0.2"/>
  <cols>
    <col min="2" max="2" width="24.83203125" customWidth="1"/>
    <col min="3" max="3" width="7.83203125" customWidth="1"/>
    <col min="4" max="4" width="8.33203125" customWidth="1"/>
    <col min="14" max="14" width="64.5" customWidth="1"/>
  </cols>
  <sheetData>
    <row r="1" spans="1:39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5" customHeight="1" x14ac:dyDescent="0.2">
      <c r="A2" s="1"/>
      <c r="B2" s="1"/>
      <c r="C2" s="1"/>
      <c r="D2" s="142" t="s">
        <v>0</v>
      </c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15" customHeight="1" x14ac:dyDescent="0.2">
      <c r="A3" s="1"/>
      <c r="B3" s="1"/>
      <c r="C3" s="1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ht="15" customHeight="1" x14ac:dyDescent="0.2">
      <c r="A4" s="1"/>
      <c r="B4" s="1"/>
      <c r="C4" s="1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">
      <c r="A5" s="1"/>
      <c r="B5" s="1"/>
      <c r="C5" s="1"/>
      <c r="D5" s="140" t="s">
        <v>22</v>
      </c>
      <c r="E5" s="140"/>
      <c r="F5" s="140"/>
      <c r="G5" s="140"/>
      <c r="H5" s="140"/>
      <c r="I5" s="14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</row>
    <row r="6" spans="1:3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6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1:39" x14ac:dyDescent="0.2">
      <c r="A7" s="1"/>
      <c r="B7" s="108" t="s">
        <v>23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21"/>
      <c r="N7" s="21"/>
      <c r="O7" s="21"/>
      <c r="P7" s="21"/>
      <c r="Q7" s="2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x14ac:dyDescent="0.2">
      <c r="A8" s="1"/>
      <c r="B8" s="146" t="s">
        <v>24</v>
      </c>
      <c r="C8" s="146"/>
      <c r="D8" s="146"/>
      <c r="E8" s="113" t="str">
        <f>IF('Start Here 👉 Business Details'!H27&gt;1,"Quantity (Year 1)","Quantity")</f>
        <v>Quantity</v>
      </c>
      <c r="F8" s="113"/>
      <c r="G8" s="113" t="s">
        <v>25</v>
      </c>
      <c r="H8" s="113"/>
      <c r="I8" s="113" t="s">
        <v>26</v>
      </c>
      <c r="J8" s="113"/>
      <c r="K8" s="113" t="s">
        <v>27</v>
      </c>
      <c r="L8" s="113"/>
      <c r="M8" s="21"/>
      <c r="N8" s="21"/>
      <c r="O8" s="21"/>
      <c r="P8" s="21"/>
      <c r="Q8" s="2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x14ac:dyDescent="0.2">
      <c r="A9" s="1"/>
      <c r="B9" s="113" t="s">
        <v>28</v>
      </c>
      <c r="C9" s="113"/>
      <c r="D9" s="113"/>
      <c r="E9" s="113"/>
      <c r="F9" s="113"/>
      <c r="G9" s="147"/>
      <c r="H9" s="147"/>
      <c r="I9" s="147"/>
      <c r="J9" s="147"/>
      <c r="K9" s="113"/>
      <c r="L9" s="113"/>
      <c r="M9" s="21"/>
      <c r="N9" s="21"/>
      <c r="O9" s="21"/>
      <c r="P9" s="21"/>
      <c r="Q9" s="2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 x14ac:dyDescent="0.2">
      <c r="A10" s="2"/>
      <c r="B10" s="116" t="s">
        <v>29</v>
      </c>
      <c r="C10" s="116"/>
      <c r="D10" s="116"/>
      <c r="E10" s="123">
        <f>'Start Here 👉 Business Details'!H14</f>
        <v>550</v>
      </c>
      <c r="F10" s="123"/>
      <c r="G10" s="126">
        <v>2.75</v>
      </c>
      <c r="H10" s="126"/>
      <c r="I10" s="125" t="s">
        <v>30</v>
      </c>
      <c r="J10" s="126"/>
      <c r="K10" s="121">
        <f>IF(I10="Monthly", E10*G10*12,IF(I10="Annual",E10*G10,G10*E10))</f>
        <v>18150</v>
      </c>
      <c r="L10" s="121"/>
      <c r="M10" s="21"/>
      <c r="N10" s="21"/>
      <c r="O10" s="21"/>
      <c r="P10" s="21"/>
      <c r="Q10" s="2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2">
      <c r="A11" s="2"/>
      <c r="B11" s="116" t="s">
        <v>31</v>
      </c>
      <c r="C11" s="116"/>
      <c r="D11" s="116"/>
      <c r="E11" s="117">
        <v>1</v>
      </c>
      <c r="F11" s="117"/>
      <c r="G11" s="118">
        <v>4000</v>
      </c>
      <c r="H11" s="118"/>
      <c r="I11" s="119" t="s">
        <v>32</v>
      </c>
      <c r="J11" s="120"/>
      <c r="K11" s="121">
        <f>IF(I11="Monthly", E11*G11*12,IF(I11="Annual",E11*G11,G11*E11))</f>
        <v>4000</v>
      </c>
      <c r="L11" s="121"/>
      <c r="M11" s="21"/>
      <c r="N11" s="21"/>
      <c r="O11" s="21"/>
      <c r="P11" s="21"/>
      <c r="Q11" s="2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39" ht="14.5" customHeight="1" x14ac:dyDescent="0.2">
      <c r="A12" s="2"/>
      <c r="B12" s="116" t="s">
        <v>33</v>
      </c>
      <c r="C12" s="116"/>
      <c r="D12" s="116"/>
      <c r="E12" s="117">
        <v>1</v>
      </c>
      <c r="F12" s="117"/>
      <c r="G12" s="118">
        <v>0</v>
      </c>
      <c r="H12" s="118"/>
      <c r="I12" s="119" t="s">
        <v>34</v>
      </c>
      <c r="J12" s="120"/>
      <c r="K12" s="121">
        <f>IF(I12="Monthly", E12*G12*12,IF(I12="Annual",E12*G12,G12*E12))</f>
        <v>0</v>
      </c>
      <c r="L12" s="121"/>
      <c r="M12" s="122" t="str">
        <f>IF(K12&gt;0,"👈 Tip: Kudos® doesn't charge for customer support. Be sure to ask your employee recognition provider if they charge for additional customer support or platform customization.","")</f>
        <v/>
      </c>
      <c r="N12" s="122"/>
      <c r="O12" s="21"/>
      <c r="P12" s="21"/>
      <c r="Q12" s="2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</row>
    <row r="13" spans="1:39" x14ac:dyDescent="0.2">
      <c r="A13" s="2"/>
      <c r="B13" s="116" t="str">
        <f>IF('Start Here 👉 Business Details'!H27&gt;1,"Rewards Budget (Year 1)","Rewards Budget")</f>
        <v>Rewards Budget</v>
      </c>
      <c r="C13" s="116"/>
      <c r="D13" s="116"/>
      <c r="E13" s="123">
        <f>'Start Here 👉 Business Details'!H14</f>
        <v>550</v>
      </c>
      <c r="F13" s="123"/>
      <c r="G13" s="124">
        <f ca="1">Calculations!B18</f>
        <v>372.22727272727275</v>
      </c>
      <c r="H13" s="124"/>
      <c r="I13" s="126" t="s">
        <v>34</v>
      </c>
      <c r="J13" s="126"/>
      <c r="K13" s="121">
        <f ca="1">IF(I13="Monthly", E13*G13*12,IF(I13="Annual",E13*G13,G13*E13))</f>
        <v>204725</v>
      </c>
      <c r="L13" s="121"/>
      <c r="M13" s="122"/>
      <c r="N13" s="122"/>
      <c r="O13" s="21"/>
      <c r="P13" s="21"/>
      <c r="Q13" s="2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21"/>
      <c r="N14" s="21"/>
      <c r="O14" s="21"/>
      <c r="P14" s="21"/>
      <c r="Q14" s="2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</row>
    <row r="15" spans="1:39" x14ac:dyDescent="0.2">
      <c r="A15" s="3"/>
      <c r="B15" s="113" t="s">
        <v>35</v>
      </c>
      <c r="C15" s="113"/>
      <c r="D15" s="113"/>
      <c r="E15" s="1"/>
      <c r="F15" s="1"/>
      <c r="G15" s="1"/>
      <c r="H15" s="1"/>
      <c r="I15" s="1"/>
      <c r="J15" s="1"/>
      <c r="K15" s="1"/>
      <c r="L15" s="1"/>
      <c r="M15" s="21"/>
      <c r="N15" s="21"/>
      <c r="O15" s="21"/>
      <c r="P15" s="21"/>
      <c r="Q15" s="2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</row>
    <row r="16" spans="1:39" x14ac:dyDescent="0.2">
      <c r="A16" s="2"/>
      <c r="B16" s="133" t="s">
        <v>36</v>
      </c>
      <c r="C16" s="133"/>
      <c r="D16" s="133"/>
      <c r="E16" s="117"/>
      <c r="F16" s="117"/>
      <c r="G16" s="125"/>
      <c r="H16" s="126"/>
      <c r="I16" s="125"/>
      <c r="J16" s="126"/>
      <c r="K16" s="121">
        <f>IF(I16="Monthly", E16*G16*12,IF(I16="Annual",E16*G16,G16*E16))</f>
        <v>0</v>
      </c>
      <c r="L16" s="121"/>
      <c r="M16" s="21" t="str">
        <f>IF(AND(OR(E16&lt;&gt;"",G16&lt;&gt;""),I16=""),"🚨 Please select a type for this addon item","")</f>
        <v/>
      </c>
      <c r="N16" s="21"/>
      <c r="O16" s="21"/>
      <c r="P16" s="21"/>
      <c r="Q16" s="2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x14ac:dyDescent="0.2">
      <c r="A17" s="2"/>
      <c r="B17" s="133"/>
      <c r="C17" s="133"/>
      <c r="D17" s="133"/>
      <c r="E17" s="117"/>
      <c r="F17" s="117"/>
      <c r="G17" s="125"/>
      <c r="H17" s="126"/>
      <c r="I17" s="125"/>
      <c r="J17" s="126"/>
      <c r="K17" s="121">
        <f t="shared" ref="K17:K20" si="0">IF(I17="Monthly", E17*G17*12,IF(I17="Annual",E17*G17,G17*E17))</f>
        <v>0</v>
      </c>
      <c r="L17" s="121"/>
      <c r="M17" s="21" t="str">
        <f t="shared" ref="M17:M21" si="1">IF(AND(OR(E17&lt;&gt;"",G17&lt;&gt;""),I17=""),"🚨 Please select a type for this addon item","")</f>
        <v/>
      </c>
      <c r="N17" s="21"/>
      <c r="O17" s="21"/>
      <c r="P17" s="21"/>
      <c r="Q17" s="2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x14ac:dyDescent="0.2">
      <c r="A18" s="2"/>
      <c r="B18" s="133"/>
      <c r="C18" s="133"/>
      <c r="D18" s="133"/>
      <c r="E18" s="117"/>
      <c r="F18" s="117"/>
      <c r="G18" s="125"/>
      <c r="H18" s="126"/>
      <c r="I18" s="125"/>
      <c r="J18" s="126"/>
      <c r="K18" s="121">
        <f t="shared" si="0"/>
        <v>0</v>
      </c>
      <c r="L18" s="121"/>
      <c r="M18" s="21" t="str">
        <f t="shared" si="1"/>
        <v/>
      </c>
      <c r="N18" s="21"/>
      <c r="O18" s="21"/>
      <c r="P18" s="21"/>
      <c r="Q18" s="2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x14ac:dyDescent="0.2">
      <c r="A19" s="2"/>
      <c r="B19" s="133"/>
      <c r="C19" s="133"/>
      <c r="D19" s="133"/>
      <c r="E19" s="117"/>
      <c r="F19" s="117"/>
      <c r="G19" s="125"/>
      <c r="H19" s="126"/>
      <c r="I19" s="125"/>
      <c r="J19" s="126"/>
      <c r="K19" s="121">
        <f t="shared" si="0"/>
        <v>0</v>
      </c>
      <c r="L19" s="121"/>
      <c r="M19" s="21" t="str">
        <f t="shared" si="1"/>
        <v/>
      </c>
      <c r="N19" s="21"/>
      <c r="O19" s="21" t="s">
        <v>37</v>
      </c>
      <c r="P19" s="21"/>
      <c r="Q19" s="2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x14ac:dyDescent="0.2">
      <c r="A20" s="2"/>
      <c r="B20" s="133"/>
      <c r="C20" s="133"/>
      <c r="D20" s="133"/>
      <c r="E20" s="117"/>
      <c r="F20" s="117"/>
      <c r="G20" s="125"/>
      <c r="H20" s="126"/>
      <c r="I20" s="125"/>
      <c r="J20" s="126"/>
      <c r="K20" s="121">
        <f t="shared" si="0"/>
        <v>0</v>
      </c>
      <c r="L20" s="121"/>
      <c r="M20" s="21" t="str">
        <f t="shared" si="1"/>
        <v/>
      </c>
      <c r="N20" s="21"/>
      <c r="O20" s="21"/>
      <c r="P20" s="21"/>
      <c r="Q20" s="2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</row>
    <row r="21" spans="1:39" ht="16" thickBot="1" x14ac:dyDescent="0.25">
      <c r="A21" s="2"/>
      <c r="B21" s="127"/>
      <c r="C21" s="127"/>
      <c r="D21" s="127"/>
      <c r="E21" s="128"/>
      <c r="F21" s="128"/>
      <c r="G21" s="129"/>
      <c r="H21" s="130"/>
      <c r="I21" s="129"/>
      <c r="J21" s="130"/>
      <c r="K21" s="131">
        <f t="shared" ref="K21" si="2">IF(I21="Monthly", E21*G21*12,IF(I21="Annual",E21*G21,G21*E21))</f>
        <v>0</v>
      </c>
      <c r="L21" s="132"/>
      <c r="M21" s="21" t="str">
        <f t="shared" si="1"/>
        <v/>
      </c>
      <c r="N21" s="21"/>
      <c r="O21" s="21"/>
      <c r="P21" s="21"/>
      <c r="Q21" s="2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</row>
    <row r="22" spans="1:39" x14ac:dyDescent="0.2">
      <c r="A22" s="2"/>
      <c r="B22" s="15"/>
      <c r="C22" s="15"/>
      <c r="D22" s="15"/>
      <c r="E22" s="16"/>
      <c r="F22" s="16"/>
      <c r="G22" s="17"/>
      <c r="H22" s="17"/>
      <c r="I22" s="17"/>
      <c r="J22" s="17"/>
      <c r="K22" s="17"/>
      <c r="L22" s="1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</row>
    <row r="23" spans="1:3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98"/>
      <c r="L23" s="98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</row>
    <row r="24" spans="1:39" x14ac:dyDescent="0.2">
      <c r="A24" s="1"/>
      <c r="B24" s="1"/>
      <c r="C24" s="1"/>
      <c r="D24" s="1"/>
      <c r="E24" s="1"/>
      <c r="F24" s="108" t="s">
        <v>38</v>
      </c>
      <c r="G24" s="108"/>
      <c r="H24" s="108"/>
      <c r="I24" s="108"/>
      <c r="J24" s="108"/>
      <c r="K24" s="108"/>
      <c r="L24" s="108"/>
      <c r="M24" s="108"/>
      <c r="N24" s="21"/>
      <c r="O24" s="21"/>
      <c r="P24" s="21"/>
      <c r="Q24" s="21"/>
      <c r="R24" s="1"/>
      <c r="S24" s="1"/>
      <c r="T24" s="1"/>
      <c r="U24" s="4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</row>
    <row r="25" spans="1:39" x14ac:dyDescent="0.2">
      <c r="A25" s="1"/>
      <c r="B25" s="1"/>
      <c r="C25" s="1"/>
      <c r="D25" s="1"/>
      <c r="E25" s="1"/>
      <c r="F25" s="148" t="s">
        <v>39</v>
      </c>
      <c r="G25" s="148"/>
      <c r="H25" s="148" t="str">
        <f>IF('Start Here 👉 Business Details'!H27&lt;2,"","Year 2")</f>
        <v/>
      </c>
      <c r="I25" s="148"/>
      <c r="J25" s="148" t="str">
        <f>IF('Start Here 👉 Business Details'!H27&lt;3,"","Year 3")</f>
        <v/>
      </c>
      <c r="K25" s="148"/>
      <c r="L25" s="112" t="s">
        <v>40</v>
      </c>
      <c r="M25" s="113"/>
      <c r="N25" s="21"/>
      <c r="O25" s="21"/>
      <c r="P25" s="21"/>
      <c r="Q25" s="2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</row>
    <row r="26" spans="1:39" x14ac:dyDescent="0.2">
      <c r="A26" s="1"/>
      <c r="B26" s="1"/>
      <c r="C26" s="1"/>
      <c r="D26" s="111"/>
      <c r="E26" s="111"/>
      <c r="F26" s="109">
        <f>'Start Here 👉 Business Details'!H14</f>
        <v>550</v>
      </c>
      <c r="G26" s="109"/>
      <c r="H26" s="109" t="str">
        <f>IF('Start Here 👉 Business Details'!H27&lt;2,"",IF(AND('Advanced Business Details'!H14="Yes",'Advanced Business Details'!H17&lt;&gt;""),'Advanced Business Details'!H17,'Start Here 👉 Business Details'!H14))</f>
        <v/>
      </c>
      <c r="I26" s="109"/>
      <c r="J26" s="109" t="str">
        <f>IF('Start Here 👉 Business Details'!H27&lt;3,"",IF(AND('Advanced Business Details'!H14="Yes",'Advanced Business Details'!H20&lt;&gt;""),'Advanced Business Details'!H20,'Start Here 👉 Business Details'!H14))</f>
        <v/>
      </c>
      <c r="K26" s="110"/>
      <c r="L26" s="112"/>
      <c r="M26" s="113"/>
      <c r="N26" s="21"/>
      <c r="O26" s="21"/>
      <c r="P26" s="21"/>
      <c r="Q26" s="2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</row>
    <row r="27" spans="1:39" x14ac:dyDescent="0.2">
      <c r="A27" s="1"/>
      <c r="B27" s="1"/>
      <c r="C27" s="11"/>
      <c r="D27" s="111" t="s">
        <v>41</v>
      </c>
      <c r="E27" s="111"/>
      <c r="F27" s="114">
        <f>$K10</f>
        <v>18150</v>
      </c>
      <c r="G27" s="114"/>
      <c r="H27" s="114" t="str">
        <f>IF('Start Here 👉 Business Details'!H27&lt;2,"",IF(AND('Advanced Business Details'!H14="YES",'Advanced Business Details'!H17&gt;0),IF(I10="Monthly",(G10*'Advanced Business Details'!H17*12),IF(I10="Annual",G10*'Advanced Business Details'!H17,0)),$K10))</f>
        <v/>
      </c>
      <c r="I27" s="114"/>
      <c r="J27" s="114" t="str">
        <f>IF('Start Here 👉 Business Details'!H27&lt;3,"",IF(AND('Advanced Business Details'!H14="YES",'Advanced Business Details'!H20&gt;0),IF(I10="Monthly",(G10*'Advanced Business Details'!H20*12),IF(I10="Annual",G10*'Advanced Business Details'!H20,0)),$K10))</f>
        <v/>
      </c>
      <c r="K27" s="114"/>
      <c r="L27" s="115">
        <f>SUM(F27:K27)</f>
        <v>18150</v>
      </c>
      <c r="M27" s="114"/>
      <c r="N27" s="21"/>
      <c r="O27" s="21"/>
      <c r="P27" s="21"/>
      <c r="Q27" s="2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pans="1:39" x14ac:dyDescent="0.2">
      <c r="A28" s="1"/>
      <c r="B28" s="1"/>
      <c r="C28" s="11"/>
      <c r="D28" s="111" t="s">
        <v>42</v>
      </c>
      <c r="E28" s="111"/>
      <c r="F28" s="114">
        <f>$K11</f>
        <v>4000</v>
      </c>
      <c r="G28" s="114"/>
      <c r="H28" s="114" t="str">
        <f>IF('Start Here 👉 Business Details'!H27&lt;2,"",IF($I11="One-Time Charge",0,$K11))</f>
        <v/>
      </c>
      <c r="I28" s="114"/>
      <c r="J28" s="114" t="str">
        <f>IF('Start Here 👉 Business Details'!H27&lt;3,"",IF($I11="One-Time Charge",0,$K11))</f>
        <v/>
      </c>
      <c r="K28" s="114"/>
      <c r="L28" s="115">
        <f t="shared" ref="L28:L30" si="3">SUM(F28:K28)</f>
        <v>4000</v>
      </c>
      <c r="M28" s="114"/>
      <c r="N28" s="21"/>
      <c r="O28" s="21"/>
      <c r="P28" s="21"/>
      <c r="Q28" s="2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pans="1:39" x14ac:dyDescent="0.2">
      <c r="A29" s="1"/>
      <c r="B29" s="1"/>
      <c r="C29" s="11"/>
      <c r="D29" s="111" t="s">
        <v>43</v>
      </c>
      <c r="E29" s="111"/>
      <c r="F29" s="114">
        <f>$K12</f>
        <v>0</v>
      </c>
      <c r="G29" s="114"/>
      <c r="H29" s="114" t="str">
        <f>IF('Start Here 👉 Business Details'!H27&lt;2,"",IF($I12="One-Time Charge",0,$K12))</f>
        <v/>
      </c>
      <c r="I29" s="114"/>
      <c r="J29" s="114" t="str">
        <f>IF('Start Here 👉 Business Details'!H27&lt;3,"",IF($I12="One-Time Charge",0,$K12))</f>
        <v/>
      </c>
      <c r="K29" s="114"/>
      <c r="L29" s="115">
        <f t="shared" ref="L29" si="4">SUM(F29:K29)</f>
        <v>0</v>
      </c>
      <c r="M29" s="114"/>
      <c r="N29" s="21"/>
      <c r="O29" s="21"/>
      <c r="P29" s="21"/>
      <c r="Q29" s="2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</row>
    <row r="30" spans="1:39" x14ac:dyDescent="0.2">
      <c r="A30" s="1"/>
      <c r="B30" s="1"/>
      <c r="C30" s="11"/>
      <c r="D30" s="111" t="s">
        <v>44</v>
      </c>
      <c r="E30" s="111"/>
      <c r="F30" s="114">
        <f ca="1">$K13*(1-'Start Here 👉 Business Details'!$H$30)</f>
        <v>174016.25</v>
      </c>
      <c r="G30" s="114"/>
      <c r="H30" s="114" t="str">
        <f>IF('Start Here 👉 Business Details'!H27&lt;2,"",IF($I13="One-Time Charge",0,IF(AND('Advanced Business Details'!H14="Yes",'Advanced Business Details'!H17&gt;0),('Advanced Business Details'!H17*Calculations!C18),(E13*Calculations!C18)))*(1-'Start Here 👉 Business Details'!$H$30))</f>
        <v/>
      </c>
      <c r="I30" s="114"/>
      <c r="J30" s="114" t="str">
        <f>IF('Start Here 👉 Business Details'!H27&lt;3,"",IF($I13="One-Time Charge",0,IF(AND('Advanced Business Details'!H14="Yes",'Advanced Business Details'!H20&gt;0),'Advanced Business Details'!H20*Calculations!D18,(E13*Calculations!D18)))*(1-'Start Here 👉 Business Details'!$H$30))</f>
        <v/>
      </c>
      <c r="K30" s="114"/>
      <c r="L30" s="115">
        <f t="shared" ca="1" si="3"/>
        <v>174016.25</v>
      </c>
      <c r="M30" s="114"/>
      <c r="N30" s="21"/>
      <c r="O30" s="21"/>
      <c r="P30" s="21"/>
      <c r="Q30" s="2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</row>
    <row r="31" spans="1:39" x14ac:dyDescent="0.2">
      <c r="A31" s="1"/>
      <c r="B31" s="1"/>
      <c r="C31" s="11"/>
      <c r="D31" s="111" t="s">
        <v>45</v>
      </c>
      <c r="E31" s="111"/>
      <c r="F31" s="114">
        <f ca="1">'Start Here 👉 Business Details'!H30*('Start Here 👉 Business Details'!H14*Calculations!B18)</f>
        <v>30708.75</v>
      </c>
      <c r="G31" s="114"/>
      <c r="H31" s="114" t="str">
        <f>IF('Start Here 👉 Business Details'!H27&lt;2,"",IF(AND('Advanced Business Details'!H14="Yes",OR('Advanced Business Details'!H17&lt;&gt;0,'Advanced Business Details'!H17&lt;&gt;"")),('Advanced Business Details'!H17*Calculations!C18*'Start Here 👉 Business Details'!H30),('Start Here 👉 Business Details'!H14*Calculations!C18)*'Start Here 👉 Business Details'!$H$30))</f>
        <v/>
      </c>
      <c r="I31" s="114"/>
      <c r="J31" s="114" t="str">
        <f>IF('Start Here 👉 Business Details'!H27&lt;3,"",IF(AND('Advanced Business Details'!H14="Yes",OR('Advanced Business Details'!H20&lt;&gt;0,'Advanced Business Details'!H20&lt;&gt;"")),('Advanced Business Details'!H20*Calculations!D18*'Start Here 👉 Business Details'!H30),('Start Here 👉 Business Details'!H14*Calculations!D18)*'Start Here 👉 Business Details'!$H$30))</f>
        <v/>
      </c>
      <c r="K31" s="114"/>
      <c r="L31" s="115">
        <f t="shared" ref="L31" ca="1" si="5">SUM(F31:K31)</f>
        <v>30708.75</v>
      </c>
      <c r="M31" s="114"/>
      <c r="N31" s="21" t="str">
        <f ca="1">IF(L31&gt;0,"👈 Kudos® customers don't have to pay for this!","👈 Tip: Ask your vendor if there is a markup, fees, or other overhead cost associated with their rewards")</f>
        <v>👈 Kudos® customers don't have to pay for this!</v>
      </c>
      <c r="O31" s="21"/>
      <c r="P31" s="21"/>
      <c r="Q31" s="2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</row>
    <row r="32" spans="1:39" ht="16" thickBot="1" x14ac:dyDescent="0.25">
      <c r="A32" s="1"/>
      <c r="B32" s="1"/>
      <c r="C32" s="11"/>
      <c r="D32" s="145" t="s">
        <v>46</v>
      </c>
      <c r="E32" s="145"/>
      <c r="F32" s="143">
        <f>SUM(K16:L21)</f>
        <v>0</v>
      </c>
      <c r="G32" s="143"/>
      <c r="H32" s="143" t="str">
        <f>IF('Start Here 👉 Business Details'!H27&lt;2,"",SUMIF(I16:J21,Settings!A2,K16:L21)+SUMIF(I16:J21,Settings!A3,K16:L21))</f>
        <v/>
      </c>
      <c r="I32" s="143"/>
      <c r="J32" s="143" t="str">
        <f>IF('Start Here 👉 Business Details'!H27&lt;3,"",SUMIF(I16:J21,Settings!A2,K16:L21)+SUMIF(I16:J21,Settings!A3,K16:L21))</f>
        <v/>
      </c>
      <c r="K32" s="143"/>
      <c r="L32" s="144">
        <f>SUM(F32:K32)</f>
        <v>0</v>
      </c>
      <c r="M32" s="143"/>
      <c r="N32" s="21"/>
      <c r="O32" s="21"/>
      <c r="P32" s="21"/>
      <c r="Q32" s="2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</row>
    <row r="33" spans="1:39" x14ac:dyDescent="0.2">
      <c r="A33" s="1"/>
      <c r="B33" s="1"/>
      <c r="C33" s="111" t="s">
        <v>47</v>
      </c>
      <c r="D33" s="111"/>
      <c r="E33" s="111"/>
      <c r="F33" s="114">
        <f ca="1">SUM(F27:G32)</f>
        <v>226875</v>
      </c>
      <c r="G33" s="114"/>
      <c r="H33" s="114" t="str">
        <f>IF('Start Here 👉 Business Details'!H27&lt;2,"",SUM(H27:I32))</f>
        <v/>
      </c>
      <c r="I33" s="114"/>
      <c r="J33" s="114" t="str">
        <f>IF('Start Here 👉 Business Details'!H27&lt;3,"",SUM(J27:K32))</f>
        <v/>
      </c>
      <c r="K33" s="114"/>
      <c r="L33" s="115">
        <f ca="1">SUM(L27:M32)</f>
        <v>226875</v>
      </c>
      <c r="M33" s="114"/>
      <c r="N33" s="149">
        <f>'Start Here 👉 Business Details'!H27</f>
        <v>1</v>
      </c>
      <c r="O33" s="149"/>
      <c r="P33" s="149"/>
      <c r="Q33" s="149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</row>
    <row r="34" spans="1:39" x14ac:dyDescent="0.2">
      <c r="A34" s="1"/>
      <c r="B34" s="1"/>
      <c r="C34" s="111" t="s">
        <v>48</v>
      </c>
      <c r="D34" s="111"/>
      <c r="E34" s="111"/>
      <c r="F34" s="114">
        <f>IF('Start Here 👉 Business Details'!H17&lt;&gt;"",'Start Here 👉 Business Details'!H17*'Start Here 👉 Business Details'!H14,'Start Here 👉 Business Details'!H24*'Start Here 👉 Business Details'!H21*'Start Here 👉 Business Details'!H14)</f>
        <v>226875</v>
      </c>
      <c r="G34" s="114"/>
      <c r="H34" s="114" t="str">
        <f>IF('Start Here 👉 Business Details'!H27&gt;1,IF(AND('Advanced Business Details'!H14="Yes",'Advanced Business Details'!H17&lt;&gt;""),'Advanced Business Details'!H17*Calculations!C23,'Start Here 👉 Business Details'!H14*Calculations!C23),"")</f>
        <v/>
      </c>
      <c r="I34" s="114"/>
      <c r="J34" s="114" t="str">
        <f>IF('Start Here 👉 Business Details'!H27&gt;2,IF(AND('Advanced Business Details'!H14="Yes",'Advanced Business Details'!H20&lt;&gt;""),'Advanced Business Details'!H20*Calculations!D23,'Start Here 👉 Business Details'!H14*Calculations!D23),"")</f>
        <v/>
      </c>
      <c r="K34" s="114"/>
      <c r="L34" s="115">
        <f>SUM(F34:K34)</f>
        <v>226875</v>
      </c>
      <c r="M34" s="114"/>
      <c r="N34" s="21"/>
      <c r="O34" s="21"/>
      <c r="P34" s="21"/>
      <c r="Q34" s="2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1:39" x14ac:dyDescent="0.2">
      <c r="A35" s="1"/>
      <c r="B35" s="1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21"/>
      <c r="P35" s="21"/>
      <c r="Q35" s="2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1:39" x14ac:dyDescent="0.2">
      <c r="A36" s="1"/>
      <c r="B36" s="1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1:39" x14ac:dyDescent="0.2">
      <c r="A37" s="1"/>
      <c r="B37" s="1"/>
      <c r="C37" s="8"/>
      <c r="D37" s="1"/>
      <c r="E37" s="1"/>
      <c r="F37" s="108" t="s">
        <v>49</v>
      </c>
      <c r="G37" s="108"/>
      <c r="H37" s="108"/>
      <c r="I37" s="108"/>
      <c r="J37" s="108"/>
      <c r="K37" s="108"/>
      <c r="L37" s="57"/>
      <c r="M37" s="57"/>
      <c r="N37" s="8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1:39" x14ac:dyDescent="0.2">
      <c r="A38" s="1"/>
      <c r="B38" s="1"/>
      <c r="C38" s="8"/>
      <c r="D38" s="1"/>
      <c r="E38" s="1"/>
      <c r="F38" s="137" t="s">
        <v>39</v>
      </c>
      <c r="G38" s="137"/>
      <c r="H38" s="137" t="str">
        <f>IF('Start Here 👉 Business Details'!H27&lt;2,"","Year 2")</f>
        <v/>
      </c>
      <c r="I38" s="137"/>
      <c r="J38" s="137" t="str">
        <f>IF('Start Here 👉 Business Details'!H27&lt;3,"","Year 3")</f>
        <v/>
      </c>
      <c r="K38" s="137"/>
      <c r="L38" s="1"/>
      <c r="M38" s="1"/>
      <c r="N38" s="8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1:39" x14ac:dyDescent="0.2">
      <c r="A39" s="1"/>
      <c r="B39" s="1"/>
      <c r="C39" s="8"/>
      <c r="D39" s="111" t="s">
        <v>50</v>
      </c>
      <c r="E39" s="111"/>
      <c r="F39" s="114">
        <f ca="1">F33/'Start Here 👉 Business Details'!$H$14</f>
        <v>412.5</v>
      </c>
      <c r="G39" s="139"/>
      <c r="H39" s="114" t="str">
        <f>IF('Start Here 👉 Business Details'!H27&lt;2,"",IF(AND('Advanced Business Details'!H14="YES",'Advanced Business Details'!H17&gt;0),(H33/'Advanced Business Details'!H17),(H33/'Start Here 👉 Business Details'!$H$14)))</f>
        <v/>
      </c>
      <c r="I39" s="139"/>
      <c r="J39" s="114" t="str">
        <f>IF('Start Here 👉 Business Details'!H27&lt;3,"",IF(AND('Advanced Business Details'!H14="YES",'Advanced Business Details'!H20&gt;0),(J33/'Advanced Business Details'!H20),(J33/'Start Here 👉 Business Details'!$H$14)))</f>
        <v/>
      </c>
      <c r="K39" s="139"/>
      <c r="L39" s="21"/>
      <c r="M39" s="21"/>
      <c r="N39" s="8"/>
      <c r="O39" s="21"/>
      <c r="P39" s="2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1:39" x14ac:dyDescent="0.2">
      <c r="A40" s="1"/>
      <c r="B40" s="1"/>
      <c r="C40" s="8"/>
      <c r="D40" s="111" t="s">
        <v>51</v>
      </c>
      <c r="E40" s="111"/>
      <c r="F40" s="114">
        <f>IF('Start Here 👉 Business Details'!$H17="",('Start Here 👉 Business Details'!$H21*'Start Here 👉 Business Details'!$H24),'Start Here 👉 Business Details'!$H17)</f>
        <v>412.5</v>
      </c>
      <c r="G40" s="114"/>
      <c r="H40" s="114" t="str">
        <f>IF('Start Here 👉 Business Details'!H27&lt;2,"",(IF('Start Here 👉 Business Details'!$H17="",('Start Here 👉 Business Details'!$H21*'Start Here 👉 Business Details'!$H24),'Start Here 👉 Business Details'!$H17)))</f>
        <v/>
      </c>
      <c r="I40" s="114"/>
      <c r="J40" s="114" t="str">
        <f>IF('Start Here 👉 Business Details'!H27&lt;3,"",(IF('Start Here 👉 Business Details'!$H17="",('Start Here 👉 Business Details'!$H21*'Start Here 👉 Business Details'!$H24),'Start Here 👉 Business Details'!$H17)))</f>
        <v/>
      </c>
      <c r="K40" s="114"/>
      <c r="L40" s="21"/>
      <c r="M40" s="21"/>
      <c r="N40" s="8"/>
      <c r="O40" s="21"/>
      <c r="P40" s="2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1:39" x14ac:dyDescent="0.2">
      <c r="A41" s="1"/>
      <c r="B41" s="1"/>
      <c r="C41" s="8"/>
      <c r="D41" s="111" t="s">
        <v>52</v>
      </c>
      <c r="E41" s="111"/>
      <c r="F41" s="139" t="str">
        <f ca="1">IF(F39&gt;F40,"Over budget",IF(F39=F40,"On budget","Under budget"))</f>
        <v>On budget</v>
      </c>
      <c r="G41" s="139"/>
      <c r="H41" s="139" t="str">
        <f>IF('Start Here 👉 Business Details'!H27&lt;2,"",(IF(H39&gt;H40,"Over budget",IF(H39=H40,"On budget","Under budget"))))</f>
        <v/>
      </c>
      <c r="I41" s="139"/>
      <c r="J41" s="139" t="str">
        <f>IF('Start Here 👉 Business Details'!H27&lt;3,"",(IF(J39&gt;J40,"Over budget",IF(J39=J40,"On budget","Under budget"))))</f>
        <v/>
      </c>
      <c r="K41" s="139"/>
      <c r="L41" s="21"/>
      <c r="M41" s="21"/>
      <c r="N41" s="8"/>
      <c r="O41" s="21"/>
      <c r="P41" s="2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1:3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8"/>
      <c r="O42" s="1"/>
      <c r="P42" s="1"/>
      <c r="Q42" s="1"/>
      <c r="R42" s="1"/>
      <c r="S42" s="1"/>
      <c r="T42" s="1"/>
      <c r="U42" s="5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  <row r="43" spans="1:39" x14ac:dyDescent="0.2">
      <c r="A43" s="1"/>
      <c r="B43" s="1"/>
      <c r="C43" s="1"/>
      <c r="E43" s="56"/>
      <c r="F43" s="56"/>
      <c r="G43" s="56"/>
      <c r="H43" s="56"/>
      <c r="I43" s="56"/>
      <c r="J43" s="56"/>
      <c r="K43" s="56"/>
      <c r="L43" s="56"/>
      <c r="M43" s="56"/>
      <c r="N43" s="1"/>
      <c r="O43" s="1"/>
      <c r="P43" s="1"/>
      <c r="Q43" s="1"/>
      <c r="R43" s="1"/>
      <c r="S43" s="1"/>
      <c r="T43" s="1"/>
      <c r="U43" s="5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</row>
    <row r="44" spans="1:39" x14ac:dyDescent="0.2">
      <c r="A44" s="1"/>
      <c r="B44" s="1"/>
      <c r="C44" s="1"/>
      <c r="D44" s="12"/>
      <c r="E44" s="12"/>
      <c r="F44" s="108" t="s">
        <v>53</v>
      </c>
      <c r="G44" s="108"/>
      <c r="H44" s="108"/>
      <c r="I44" s="108"/>
      <c r="J44" s="108"/>
      <c r="K44" s="108"/>
      <c r="L44" s="108"/>
      <c r="M44" s="108"/>
      <c r="N44" s="1"/>
      <c r="O44" s="1"/>
      <c r="P44" s="1"/>
      <c r="Q44" s="1"/>
      <c r="R44" s="1"/>
      <c r="S44" s="1"/>
      <c r="T44" s="1"/>
      <c r="U44" s="5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x14ac:dyDescent="0.2">
      <c r="A45" s="1"/>
      <c r="B45" s="1"/>
      <c r="C45" s="1"/>
      <c r="D45" s="19"/>
      <c r="E45" s="12"/>
      <c r="F45" s="137" t="s">
        <v>39</v>
      </c>
      <c r="G45" s="137"/>
      <c r="H45" s="137" t="str">
        <f>IF('Start Here 👉 Business Details'!H27&lt;2,"","Year 2")</f>
        <v/>
      </c>
      <c r="I45" s="137"/>
      <c r="J45" s="137" t="str">
        <f>IF('Start Here 👉 Business Details'!H27&lt;3,"","Year 3")</f>
        <v/>
      </c>
      <c r="K45" s="137"/>
      <c r="L45" s="138" t="s">
        <v>40</v>
      </c>
      <c r="M45" s="137"/>
      <c r="N45" s="1"/>
      <c r="O45" s="1"/>
      <c r="P45" s="1"/>
      <c r="Q45" s="1"/>
      <c r="R45" s="1"/>
      <c r="S45" s="1"/>
      <c r="T45" s="1"/>
      <c r="U45" s="5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x14ac:dyDescent="0.2">
      <c r="A46" s="1"/>
      <c r="B46" s="1"/>
      <c r="C46" s="1"/>
      <c r="D46" s="111" t="s">
        <v>54</v>
      </c>
      <c r="E46" s="111"/>
      <c r="F46" s="114">
        <f>IF(AND('Advanced Business Details'!H26="",'Advanced Business Details'!H32&lt;&gt;"",'Advanced Business Details'!H35&lt;&gt;"",'Advanced Business Details'!H38&lt;&gt;""),((('Advanced Business Details'!H32*'Advanced Business Details'!H38*12)/8)/221)*'Advanced Business Details'!H35,IF('Advanced Business Details'!H26&lt;&gt;"",((('Advanced Business Details'!H26*12)/8)/221)*45000,""))</f>
        <v>3665.158371040724</v>
      </c>
      <c r="G46" s="114"/>
      <c r="H46" s="114">
        <f>IF(AND('Advanced Business Details'!H26="",'Advanced Business Details'!H32&lt;&gt;"",'Advanced Business Details'!H35&lt;&gt;"",'Advanced Business Details'!H38&lt;&gt;""),((('Advanced Business Details'!H32*'Advanced Business Details'!H38*12)/8)/221)*'Advanced Business Details'!H35,IF('Advanced Business Details'!H26&lt;&gt;"",((('Advanced Business Details'!H26*12)/8)/221)*45000,""))</f>
        <v>3665.158371040724</v>
      </c>
      <c r="I46" s="114"/>
      <c r="J46" s="114">
        <f>IF(AND('Advanced Business Details'!H26="",'Advanced Business Details'!H32&lt;&gt;"",'Advanced Business Details'!H35&lt;&gt;"",'Advanced Business Details'!H38&lt;&gt;""),((('Advanced Business Details'!H32*'Advanced Business Details'!H38*12)/8)/221)*'Advanced Business Details'!H35,IF('Advanced Business Details'!H26&lt;&gt;"",((('Advanced Business Details'!H26*12)/8)/221)*45000,""))</f>
        <v>3665.158371040724</v>
      </c>
      <c r="K46" s="114"/>
      <c r="L46" s="115">
        <f>SUM(F46:K46)</f>
        <v>10995.475113122171</v>
      </c>
      <c r="M46" s="114"/>
      <c r="N46" s="136">
        <f>IF(L46&gt;0,(L46*Settings!P2),"")</f>
        <v>8796.3800904977379</v>
      </c>
      <c r="O46" s="1"/>
      <c r="P46" s="1"/>
      <c r="Q46" s="1"/>
      <c r="R46" s="1"/>
      <c r="S46" s="1"/>
      <c r="T46" s="1"/>
      <c r="U46" s="5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</row>
    <row r="47" spans="1:39" x14ac:dyDescent="0.2">
      <c r="A47" s="1"/>
      <c r="B47" s="1"/>
      <c r="C47" s="1"/>
      <c r="D47" s="137" t="s">
        <v>55</v>
      </c>
      <c r="E47" s="137"/>
      <c r="F47" s="141">
        <f>IF('Advanced Business Details'!H26&lt;&gt;"",'Advanced Business Details'!H26*12/8,IF(AND('Advanced Business Details'!H26="",'Advanced Business Details'!H32&lt;&gt;"",'Advanced Business Details'!H35&lt;&gt;"",'Advanced Business Details'!H38&lt;&gt;""),'Advanced Business Details'!H32*'Advanced Business Details'!H38*12/8,""))</f>
        <v>18</v>
      </c>
      <c r="G47" s="141"/>
      <c r="H47" s="141">
        <f>IF('Advanced Business Details'!H26&lt;&gt;"",'Advanced Business Details'!H26*12/8,IF(AND('Advanced Business Details'!H26="",'Advanced Business Details'!H32&lt;&gt;"",'Advanced Business Details'!H35&lt;&gt;"",'Advanced Business Details'!H38&lt;&gt;""),'Advanced Business Details'!H32*'Advanced Business Details'!H38*12/8,""))</f>
        <v>18</v>
      </c>
      <c r="I47" s="141"/>
      <c r="J47" s="141">
        <f>IF('Advanced Business Details'!H26&lt;&gt;"",'Advanced Business Details'!H26*12/8,IF(AND('Advanced Business Details'!H26="",'Advanced Business Details'!H32&lt;&gt;"",'Advanced Business Details'!H35&lt;&gt;"",'Advanced Business Details'!H38&lt;&gt;""),'Advanced Business Details'!H32*'Advanced Business Details'!H38*12/8,""))</f>
        <v>18</v>
      </c>
      <c r="K47" s="141"/>
      <c r="L47" s="134">
        <f>SUM(F47:K47)</f>
        <v>54</v>
      </c>
      <c r="M47" s="135"/>
      <c r="N47" s="136"/>
      <c r="O47" s="1"/>
      <c r="P47" s="1"/>
      <c r="Q47" s="1"/>
      <c r="R47" s="1"/>
      <c r="S47" s="1"/>
      <c r="T47" s="1"/>
      <c r="U47" s="5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1:39" x14ac:dyDescent="0.2">
      <c r="A48" s="1"/>
      <c r="B48" s="1"/>
      <c r="C48" s="1"/>
      <c r="D48" s="14"/>
      <c r="E48" s="14"/>
      <c r="F48" s="23"/>
      <c r="G48" s="23"/>
      <c r="H48" s="23"/>
      <c r="I48" s="23"/>
      <c r="J48" s="23"/>
      <c r="K48" s="23"/>
      <c r="L48" s="23"/>
      <c r="M48" s="23"/>
      <c r="N48" s="21"/>
      <c r="O48" s="1"/>
      <c r="P48" s="1"/>
      <c r="Q48" s="1"/>
      <c r="R48" s="1"/>
      <c r="S48" s="1"/>
      <c r="T48" s="1"/>
      <c r="U48" s="5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</row>
    <row r="49" spans="1:3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5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5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</row>
    <row r="51" spans="1:3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5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</row>
    <row r="52" spans="1:3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5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</row>
    <row r="53" spans="1:3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5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</row>
    <row r="54" spans="1:3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</row>
    <row r="55" spans="1:39" x14ac:dyDescent="0.2">
      <c r="A55" s="85">
        <f>tool_version</f>
        <v>1.3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</row>
    <row r="56" spans="1:39" x14ac:dyDescent="0.2">
      <c r="A56" s="75" t="s">
        <v>14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</row>
    <row r="57" spans="1:3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  <row r="58" spans="1:3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2"/>
      <c r="N58" s="12"/>
      <c r="O58" s="12"/>
      <c r="P58" s="13"/>
      <c r="Q58" s="13"/>
      <c r="R58" s="13"/>
      <c r="S58" s="13"/>
      <c r="T58" s="13"/>
      <c r="U58" s="13"/>
      <c r="V58" s="13"/>
      <c r="W58" s="13"/>
      <c r="X58" s="2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2"/>
      <c r="N59" s="12"/>
      <c r="O59" s="12"/>
      <c r="P59" s="13"/>
      <c r="Q59" s="13"/>
      <c r="R59" s="13"/>
      <c r="S59" s="13"/>
      <c r="T59" s="13"/>
      <c r="U59" s="13"/>
      <c r="V59" s="13"/>
      <c r="W59" s="13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</row>
    <row r="60" spans="1:3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2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</row>
    <row r="61" spans="1:3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2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</row>
    <row r="62" spans="1:3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2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</row>
    <row r="63" spans="1:3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2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</row>
    <row r="64" spans="1:3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2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</row>
    <row r="65" spans="1:3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</row>
    <row r="66" spans="1:3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</row>
    <row r="67" spans="1:3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</row>
    <row r="68" spans="1:3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</row>
    <row r="69" spans="1:3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</row>
    <row r="70" spans="1:3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</row>
    <row r="71" spans="1:3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</row>
    <row r="72" spans="1:3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</row>
    <row r="73" spans="1:3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</row>
    <row r="74" spans="1:3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</row>
    <row r="75" spans="1:3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</row>
    <row r="76" spans="1:3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</row>
    <row r="77" spans="1:3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</row>
    <row r="78" spans="1:3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</row>
    <row r="79" spans="1:3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</row>
    <row r="80" spans="1:3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</row>
    <row r="81" spans="1:3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</row>
    <row r="82" spans="1:3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</row>
    <row r="83" spans="1:3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</row>
    <row r="84" spans="1:3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</row>
    <row r="85" spans="1:3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</row>
    <row r="86" spans="1:3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</row>
    <row r="87" spans="1:3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</row>
    <row r="88" spans="1:3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</row>
    <row r="89" spans="1:3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</row>
    <row r="90" spans="1:3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</row>
    <row r="91" spans="1:3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</row>
    <row r="92" spans="1:3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</row>
    <row r="93" spans="1:3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</row>
    <row r="94" spans="1:3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</row>
    <row r="95" spans="1:3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</row>
    <row r="96" spans="1:3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</row>
    <row r="97" spans="1:3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</row>
    <row r="98" spans="1:3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</row>
  </sheetData>
  <mergeCells count="150">
    <mergeCell ref="A56:Q56"/>
    <mergeCell ref="H25:I25"/>
    <mergeCell ref="J25:K25"/>
    <mergeCell ref="F24:M24"/>
    <mergeCell ref="F25:G25"/>
    <mergeCell ref="A55:Q55"/>
    <mergeCell ref="J28:K28"/>
    <mergeCell ref="D40:E40"/>
    <mergeCell ref="N33:Q33"/>
    <mergeCell ref="H27:I27"/>
    <mergeCell ref="J27:K27"/>
    <mergeCell ref="L27:M27"/>
    <mergeCell ref="H28:I28"/>
    <mergeCell ref="F38:G38"/>
    <mergeCell ref="H38:I38"/>
    <mergeCell ref="J38:K38"/>
    <mergeCell ref="F33:G33"/>
    <mergeCell ref="H33:I33"/>
    <mergeCell ref="J33:K33"/>
    <mergeCell ref="L33:M33"/>
    <mergeCell ref="F40:G40"/>
    <mergeCell ref="H40:I40"/>
    <mergeCell ref="J40:K40"/>
    <mergeCell ref="D41:E41"/>
    <mergeCell ref="K23:L23"/>
    <mergeCell ref="L28:M28"/>
    <mergeCell ref="H30:I30"/>
    <mergeCell ref="D31:E31"/>
    <mergeCell ref="F31:G31"/>
    <mergeCell ref="H31:I31"/>
    <mergeCell ref="J31:K31"/>
    <mergeCell ref="L31:M31"/>
    <mergeCell ref="F29:G29"/>
    <mergeCell ref="H29:I29"/>
    <mergeCell ref="J29:K29"/>
    <mergeCell ref="L29:M29"/>
    <mergeCell ref="E8:F8"/>
    <mergeCell ref="G8:H8"/>
    <mergeCell ref="B10:D10"/>
    <mergeCell ref="E10:F10"/>
    <mergeCell ref="G10:H10"/>
    <mergeCell ref="K10:L10"/>
    <mergeCell ref="I8:J8"/>
    <mergeCell ref="B9:D9"/>
    <mergeCell ref="I10:J10"/>
    <mergeCell ref="E9:F9"/>
    <mergeCell ref="G9:H9"/>
    <mergeCell ref="I9:J9"/>
    <mergeCell ref="K9:L9"/>
    <mergeCell ref="D2:N4"/>
    <mergeCell ref="J30:K30"/>
    <mergeCell ref="L30:M30"/>
    <mergeCell ref="H32:I32"/>
    <mergeCell ref="J32:K32"/>
    <mergeCell ref="L32:M32"/>
    <mergeCell ref="D32:E32"/>
    <mergeCell ref="F27:G27"/>
    <mergeCell ref="F28:G28"/>
    <mergeCell ref="F30:G30"/>
    <mergeCell ref="F32:G32"/>
    <mergeCell ref="D27:E27"/>
    <mergeCell ref="D28:E28"/>
    <mergeCell ref="D30:E30"/>
    <mergeCell ref="K11:L11"/>
    <mergeCell ref="B7:L7"/>
    <mergeCell ref="K8:L8"/>
    <mergeCell ref="B8:D8"/>
    <mergeCell ref="I12:J12"/>
    <mergeCell ref="E12:F12"/>
    <mergeCell ref="G12:H12"/>
    <mergeCell ref="K12:L12"/>
    <mergeCell ref="B12:D12"/>
    <mergeCell ref="D29:E29"/>
    <mergeCell ref="F41:G41"/>
    <mergeCell ref="H41:I41"/>
    <mergeCell ref="J41:K41"/>
    <mergeCell ref="D39:E39"/>
    <mergeCell ref="F39:G39"/>
    <mergeCell ref="H39:I39"/>
    <mergeCell ref="J39:K39"/>
    <mergeCell ref="D5:I5"/>
    <mergeCell ref="D47:E47"/>
    <mergeCell ref="F47:G47"/>
    <mergeCell ref="H47:I47"/>
    <mergeCell ref="J47:K47"/>
    <mergeCell ref="C33:E33"/>
    <mergeCell ref="B17:D17"/>
    <mergeCell ref="E17:F17"/>
    <mergeCell ref="G17:H17"/>
    <mergeCell ref="I13:J13"/>
    <mergeCell ref="K13:L13"/>
    <mergeCell ref="B15:D15"/>
    <mergeCell ref="I17:J17"/>
    <mergeCell ref="K17:L17"/>
    <mergeCell ref="B16:D16"/>
    <mergeCell ref="E16:F16"/>
    <mergeCell ref="G16:H16"/>
    <mergeCell ref="L47:M47"/>
    <mergeCell ref="N46:N47"/>
    <mergeCell ref="F44:M44"/>
    <mergeCell ref="F45:G45"/>
    <mergeCell ref="H45:I45"/>
    <mergeCell ref="J45:K45"/>
    <mergeCell ref="D46:E46"/>
    <mergeCell ref="F46:G46"/>
    <mergeCell ref="H46:I46"/>
    <mergeCell ref="J46:K46"/>
    <mergeCell ref="L45:M45"/>
    <mergeCell ref="L46:M46"/>
    <mergeCell ref="B21:D21"/>
    <mergeCell ref="E21:F21"/>
    <mergeCell ref="G21:H21"/>
    <mergeCell ref="I21:J21"/>
    <mergeCell ref="K21:L21"/>
    <mergeCell ref="B18:D18"/>
    <mergeCell ref="E18:F18"/>
    <mergeCell ref="G18:H18"/>
    <mergeCell ref="I18:J18"/>
    <mergeCell ref="K18:L18"/>
    <mergeCell ref="B19:D19"/>
    <mergeCell ref="E19:F19"/>
    <mergeCell ref="G19:H19"/>
    <mergeCell ref="I19:J19"/>
    <mergeCell ref="K19:L19"/>
    <mergeCell ref="B20:D20"/>
    <mergeCell ref="E20:F20"/>
    <mergeCell ref="G20:H20"/>
    <mergeCell ref="I20:J20"/>
    <mergeCell ref="K20:L20"/>
    <mergeCell ref="B11:D11"/>
    <mergeCell ref="E11:F11"/>
    <mergeCell ref="G11:H11"/>
    <mergeCell ref="I11:J11"/>
    <mergeCell ref="K16:L16"/>
    <mergeCell ref="M12:N13"/>
    <mergeCell ref="B13:D13"/>
    <mergeCell ref="E13:F13"/>
    <mergeCell ref="G13:H13"/>
    <mergeCell ref="I16:J16"/>
    <mergeCell ref="F37:K37"/>
    <mergeCell ref="F26:G26"/>
    <mergeCell ref="H26:I26"/>
    <mergeCell ref="J26:K26"/>
    <mergeCell ref="D26:E26"/>
    <mergeCell ref="L25:M26"/>
    <mergeCell ref="C34:E34"/>
    <mergeCell ref="F34:G34"/>
    <mergeCell ref="H34:I34"/>
    <mergeCell ref="J34:K34"/>
    <mergeCell ref="L34:M34"/>
  </mergeCells>
  <conditionalFormatting sqref="F41:K41">
    <cfRule type="cellIs" dxfId="4" priority="1" operator="equal">
      <formula>"On budget"</formula>
    </cfRule>
    <cfRule type="cellIs" dxfId="3" priority="4" operator="equal">
      <formula>"Under budget"</formula>
    </cfRule>
    <cfRule type="cellIs" dxfId="2" priority="5" operator="equal">
      <formula>"Over budget"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3" id="{2CD59FC5-32D6-4D79-97EA-2D04F105326C}">
            <xm:f>OR('Advanced Business Details'!$H$23="Existing Software",'Advanced Business Details'!$H$23="")</xm:f>
            <x14:dxf>
              <font>
                <color theme="0"/>
              </font>
            </x14:dxf>
          </x14:cfRule>
          <x14:cfRule type="expression" priority="64" id="{49B989D0-04A0-4F70-8885-13623A4CCB1C}">
            <xm:f>OR('Advanced Business Details'!$H$23&lt;&gt;"Existing Software",'Advanced Business Details'!$H$23&lt;&gt;"")</xm:f>
            <x14:dxf>
              <font>
                <color theme="1"/>
              </font>
            </x14:dxf>
          </x14:cfRule>
          <xm:sqref>N46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79E4DB-F099-456A-8FC8-F6ED17037E79}">
          <x14:formula1>
            <xm:f>Settings!$A$2:$A$6</xm:f>
          </x14:formula1>
          <xm:sqref>I16:J22 I10:J13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D5E57-06C6-41D4-9494-D3C48986144B}">
  <dimension ref="A1:T40"/>
  <sheetViews>
    <sheetView workbookViewId="0">
      <selection activeCell="A23" sqref="A23"/>
    </sheetView>
  </sheetViews>
  <sheetFormatPr baseColWidth="10" defaultColWidth="8.83203125" defaultRowHeight="15" x14ac:dyDescent="0.2"/>
  <cols>
    <col min="1" max="1" width="18" customWidth="1"/>
    <col min="2" max="2" width="15.5" customWidth="1"/>
    <col min="3" max="3" width="44.5" customWidth="1"/>
    <col min="4" max="4" width="38.5" customWidth="1"/>
    <col min="6" max="6" width="26.6640625" customWidth="1"/>
    <col min="7" max="7" width="27.5" customWidth="1"/>
  </cols>
  <sheetData>
    <row r="1" spans="1:20" x14ac:dyDescent="0.2">
      <c r="A1" s="39" t="s">
        <v>56</v>
      </c>
      <c r="B1" s="39" t="s">
        <v>57</v>
      </c>
      <c r="C1" s="29" t="s">
        <v>58</v>
      </c>
      <c r="D1" s="29" t="s">
        <v>59</v>
      </c>
      <c r="E1" s="29" t="s">
        <v>60</v>
      </c>
      <c r="F1" s="29" t="s">
        <v>61</v>
      </c>
      <c r="G1" s="29" t="s">
        <v>62</v>
      </c>
      <c r="H1" s="21"/>
      <c r="I1" s="21"/>
      <c r="J1" s="21"/>
      <c r="K1" s="21"/>
      <c r="L1" s="21"/>
      <c r="M1" s="21"/>
      <c r="N1" s="21"/>
      <c r="O1" s="21"/>
      <c r="P1" s="21" t="s">
        <v>63</v>
      </c>
      <c r="Q1" s="21"/>
      <c r="R1" s="40"/>
      <c r="S1" s="8"/>
      <c r="T1" s="8"/>
    </row>
    <row r="2" spans="1:20" x14ac:dyDescent="0.2">
      <c r="A2" s="41" t="s">
        <v>30</v>
      </c>
      <c r="B2" s="42">
        <v>1</v>
      </c>
      <c r="C2" s="43">
        <f>5*12</f>
        <v>60</v>
      </c>
      <c r="D2" s="44">
        <v>5.0000000000000001E-3</v>
      </c>
      <c r="E2" s="45" t="s">
        <v>17</v>
      </c>
      <c r="F2" s="45" t="s">
        <v>64</v>
      </c>
      <c r="G2" s="46">
        <v>4</v>
      </c>
      <c r="H2" s="21"/>
      <c r="I2" s="21"/>
      <c r="J2" s="21"/>
      <c r="K2" s="21"/>
      <c r="L2" s="21"/>
      <c r="M2" s="21"/>
      <c r="N2" s="21"/>
      <c r="O2" s="47" t="s">
        <v>65</v>
      </c>
      <c r="P2" s="48">
        <v>0.8</v>
      </c>
      <c r="Q2" s="21"/>
      <c r="R2" s="40"/>
      <c r="S2" s="8"/>
      <c r="T2" s="8"/>
    </row>
    <row r="3" spans="1:20" x14ac:dyDescent="0.2">
      <c r="A3" s="49" t="s">
        <v>34</v>
      </c>
      <c r="B3" s="50">
        <v>2</v>
      </c>
      <c r="C3" s="51">
        <v>100</v>
      </c>
      <c r="D3" s="52">
        <v>7.4999999999999997E-3</v>
      </c>
      <c r="E3" s="45" t="s">
        <v>66</v>
      </c>
      <c r="F3" s="45" t="s">
        <v>19</v>
      </c>
      <c r="G3" s="46">
        <v>8</v>
      </c>
      <c r="H3" s="21"/>
      <c r="I3" s="21"/>
      <c r="J3" s="21"/>
      <c r="K3" s="21"/>
      <c r="L3" s="21"/>
      <c r="M3" s="21"/>
      <c r="N3" s="21"/>
      <c r="O3" s="21"/>
      <c r="P3" s="21"/>
      <c r="Q3" s="21"/>
      <c r="R3" s="40"/>
      <c r="S3" s="8"/>
      <c r="T3" s="8"/>
    </row>
    <row r="4" spans="1:20" x14ac:dyDescent="0.2">
      <c r="A4" s="49" t="s">
        <v>32</v>
      </c>
      <c r="B4" s="50">
        <v>3</v>
      </c>
      <c r="C4" s="53">
        <v>250</v>
      </c>
      <c r="D4" s="52">
        <v>0.01</v>
      </c>
      <c r="E4" s="21"/>
      <c r="F4" s="45" t="s">
        <v>67</v>
      </c>
      <c r="G4" s="54">
        <v>12</v>
      </c>
      <c r="H4" s="21"/>
      <c r="I4" s="21"/>
      <c r="J4" s="21"/>
      <c r="K4" s="21"/>
      <c r="L4" s="21"/>
      <c r="M4" s="21"/>
      <c r="N4" s="21"/>
      <c r="O4" s="21"/>
      <c r="P4" s="21"/>
      <c r="Q4" s="21"/>
      <c r="R4" s="40"/>
      <c r="S4" s="8"/>
      <c r="T4" s="8"/>
    </row>
    <row r="5" spans="1:20" x14ac:dyDescent="0.2">
      <c r="A5" s="21"/>
      <c r="B5" s="21"/>
      <c r="C5" s="58">
        <v>500</v>
      </c>
      <c r="D5" s="52">
        <v>0.02</v>
      </c>
      <c r="E5" s="21"/>
      <c r="F5" s="21"/>
      <c r="G5" s="46">
        <v>18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40"/>
      <c r="S5" s="8"/>
      <c r="T5" s="8"/>
    </row>
    <row r="6" spans="1:20" x14ac:dyDescent="0.2">
      <c r="A6" s="21"/>
      <c r="B6" s="21"/>
      <c r="C6" s="21"/>
      <c r="D6" s="52">
        <v>0.04</v>
      </c>
      <c r="E6" s="21"/>
      <c r="F6" s="21"/>
      <c r="G6" s="46">
        <v>24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40"/>
      <c r="S6" s="8"/>
      <c r="T6" s="8"/>
    </row>
    <row r="7" spans="1:20" x14ac:dyDescent="0.2">
      <c r="A7" s="21"/>
      <c r="B7" s="21"/>
      <c r="C7" s="21"/>
      <c r="D7" s="55">
        <v>0.05</v>
      </c>
      <c r="E7" s="21"/>
      <c r="F7" s="21"/>
      <c r="G7" s="46">
        <v>36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40"/>
      <c r="S7" s="8"/>
      <c r="T7" s="8"/>
    </row>
    <row r="8" spans="1:20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40"/>
      <c r="S8" s="8"/>
      <c r="T8" s="8"/>
    </row>
    <row r="9" spans="1:20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40"/>
      <c r="S9" s="8"/>
      <c r="T9" s="8"/>
    </row>
    <row r="10" spans="1:20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40"/>
      <c r="S10" s="8"/>
      <c r="T10" s="8"/>
    </row>
    <row r="11" spans="1:20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40"/>
      <c r="S11" s="8"/>
      <c r="T11" s="8"/>
    </row>
    <row r="12" spans="1:20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40"/>
      <c r="S12" s="8"/>
      <c r="T12" s="8"/>
    </row>
    <row r="13" spans="1:20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40"/>
      <c r="S13" s="8"/>
      <c r="T13" s="8"/>
    </row>
    <row r="14" spans="1:20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40"/>
      <c r="S14" s="8"/>
      <c r="T14" s="8"/>
    </row>
    <row r="15" spans="1:2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8"/>
      <c r="S15" s="8"/>
      <c r="T15" s="8"/>
    </row>
    <row r="16" spans="1:2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8"/>
      <c r="S16" s="8"/>
      <c r="T16" s="8"/>
    </row>
    <row r="17" spans="1:2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8"/>
      <c r="S17" s="8"/>
      <c r="T17" s="8"/>
    </row>
    <row r="18" spans="1:2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8"/>
      <c r="S18" s="8"/>
      <c r="T18" s="8"/>
    </row>
    <row r="19" spans="1:2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8"/>
      <c r="S19" s="8"/>
      <c r="T19" s="8"/>
    </row>
    <row r="20" spans="1:2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8"/>
      <c r="S20" s="8"/>
      <c r="T20" s="8"/>
    </row>
    <row r="21" spans="1:20" x14ac:dyDescent="0.2">
      <c r="A21" s="85">
        <f>tool_version</f>
        <v>1.3</v>
      </c>
      <c r="B21" s="85"/>
      <c r="C21" s="85"/>
      <c r="D21" s="85"/>
      <c r="E21" s="85"/>
      <c r="F21" s="85"/>
      <c r="G21" s="85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8"/>
      <c r="S21" s="8"/>
      <c r="T21" s="8"/>
    </row>
    <row r="22" spans="1:20" x14ac:dyDescent="0.2">
      <c r="A22" s="75" t="s">
        <v>14</v>
      </c>
      <c r="B22" s="75"/>
      <c r="C22" s="75"/>
      <c r="D22" s="75"/>
      <c r="E22" s="75"/>
      <c r="F22" s="75"/>
      <c r="G22" s="75"/>
      <c r="H22" s="9"/>
      <c r="I22" s="9"/>
      <c r="J22" s="9"/>
      <c r="K22" s="9"/>
      <c r="L22" s="9"/>
      <c r="M22" s="9"/>
      <c r="N22" s="9"/>
      <c r="O22" s="9"/>
      <c r="P22" s="9"/>
      <c r="Q22" s="9"/>
      <c r="R22" s="8"/>
      <c r="S22" s="8"/>
      <c r="T22" s="8"/>
    </row>
    <row r="23" spans="1:2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8"/>
      <c r="S23" s="8"/>
      <c r="T23" s="8"/>
    </row>
    <row r="24" spans="1:2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8"/>
      <c r="S24" s="8"/>
      <c r="T24" s="8"/>
    </row>
    <row r="25" spans="1:2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8"/>
      <c r="S25" s="8"/>
      <c r="T25" s="8"/>
    </row>
    <row r="26" spans="1:2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8"/>
      <c r="S26" s="8"/>
      <c r="T26" s="8"/>
    </row>
    <row r="27" spans="1:2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</sheetData>
  <mergeCells count="2">
    <mergeCell ref="A21:G21"/>
    <mergeCell ref="A22:G2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1230C-3B69-490D-9571-C89EF4E8DC54}">
  <dimension ref="A1:G42"/>
  <sheetViews>
    <sheetView workbookViewId="0">
      <selection activeCell="B14" sqref="B14"/>
    </sheetView>
  </sheetViews>
  <sheetFormatPr baseColWidth="10" defaultColWidth="8.83203125" defaultRowHeight="15" x14ac:dyDescent="0.2"/>
  <cols>
    <col min="1" max="1" width="28.33203125" customWidth="1"/>
    <col min="2" max="2" width="22.1640625" customWidth="1"/>
    <col min="3" max="3" width="11.33203125" customWidth="1"/>
  </cols>
  <sheetData>
    <row r="1" spans="1:7" x14ac:dyDescent="0.2">
      <c r="A1" s="150" t="s">
        <v>68</v>
      </c>
      <c r="B1" s="150"/>
      <c r="C1" s="150"/>
      <c r="D1" s="150"/>
    </row>
    <row r="2" spans="1:7" x14ac:dyDescent="0.2">
      <c r="A2" s="22"/>
      <c r="B2" s="22"/>
      <c r="C2" s="22"/>
      <c r="D2" s="22"/>
      <c r="E2" s="22"/>
      <c r="F2" s="22"/>
    </row>
    <row r="3" spans="1:7" x14ac:dyDescent="0.2">
      <c r="A3" s="22" t="s">
        <v>69</v>
      </c>
      <c r="B3" s="26">
        <f>IF('Start Here 👉 Business Details'!H17&lt;&gt;"",'Start Here 👉 Business Details'!H17,'Start Here 👉 Business Details'!H21*'Start Here 👉 Business Details'!H24)</f>
        <v>412.5</v>
      </c>
      <c r="C3" s="22"/>
      <c r="D3" s="22"/>
      <c r="E3" s="22"/>
      <c r="F3" s="22"/>
    </row>
    <row r="4" spans="1:7" x14ac:dyDescent="0.2">
      <c r="A4" s="22"/>
      <c r="B4" s="26" t="s">
        <v>39</v>
      </c>
      <c r="C4" s="22" t="s">
        <v>70</v>
      </c>
      <c r="D4" s="22" t="s">
        <v>71</v>
      </c>
      <c r="E4" s="22"/>
      <c r="F4" s="22"/>
    </row>
    <row r="5" spans="1:7" x14ac:dyDescent="0.2">
      <c r="A5" s="22" t="s">
        <v>72</v>
      </c>
      <c r="B5" s="26">
        <f>(SUMIF('Budget Worksheet'!I10:J10, "Monthly",'Budget Worksheet'!G10:H10)*12)</f>
        <v>33</v>
      </c>
      <c r="C5" s="26">
        <f>(SUMIF('Budget Worksheet'!I10:J10, "Monthly",'Budget Worksheet'!G10:H10)*12)</f>
        <v>33</v>
      </c>
      <c r="D5" s="26">
        <f>(SUMIF('Budget Worksheet'!I10:J10, "Monthly",'Budget Worksheet'!G10:H10)*12)</f>
        <v>33</v>
      </c>
      <c r="E5" s="22"/>
      <c r="F5" s="22"/>
    </row>
    <row r="6" spans="1:7" x14ac:dyDescent="0.2">
      <c r="A6" s="22" t="s">
        <v>73</v>
      </c>
      <c r="B6" s="26">
        <f>(SUMIF('Budget Worksheet'!I10:J10, "Annual",'Budget Worksheet'!K10:L10))/'Start Here 👉 Business Details'!H14</f>
        <v>0</v>
      </c>
      <c r="C6" s="26" cm="1">
        <f t="array" ref="C6">(SUMIF('Budget Worksheet'!I10:J10, "Annual",'Budget Worksheet'!K10:L10))/IF(OR('Start Here 👉 Business Details'!H27&lt;2,'Advanced Business Details'!H14="No",'Advanced Business Details'!H17:I18&lt;0),'Start Here 👉 Business Details'!H14,'Advanced Business Details'!H17)</f>
        <v>0</v>
      </c>
      <c r="D6" s="26">
        <f>(SUMIF('Budget Worksheet'!I10:J10, "Annual",'Budget Worksheet'!K10:L10))/IF(OR('Start Here 👉 Business Details'!H27&lt;3,'Advanced Business Details'!H14="No",'Advanced Business Details'!H20&lt;0),'Start Here 👉 Business Details'!H14,'Advanced Business Details'!H20)</f>
        <v>0</v>
      </c>
      <c r="E6" s="22"/>
      <c r="F6" s="22"/>
    </row>
    <row r="7" spans="1:7" x14ac:dyDescent="0.2">
      <c r="A7" s="22" t="s">
        <v>74</v>
      </c>
      <c r="B7" s="26">
        <f>(SUMIF('Budget Worksheet'!I10:J10, "One-Time Charge",'Budget Worksheet'!K10:L10))/'Start Here 👉 Business Details'!H14</f>
        <v>0</v>
      </c>
      <c r="C7" s="26" cm="1">
        <f t="array" ref="C7">(SUMIF('Budget Worksheet'!I10:J10, "One-Time Charge",'Budget Worksheet'!K10:L10))/IF(OR('Start Here 👉 Business Details'!H27&lt;2,'Advanced Business Details'!H14="No",'Advanced Business Details'!H17:I18&lt;0),'Start Here 👉 Business Details'!H14,'Advanced Business Details'!H17)</f>
        <v>0</v>
      </c>
      <c r="D7" s="26">
        <f>(SUMIF('Budget Worksheet'!I10:J10, "One-Time Charge",'Budget Worksheet'!K10:L10))/IF(OR('Start Here 👉 Business Details'!H27&lt;3,'Advanced Business Details'!H14="No",'Advanced Business Details'!H20&lt;0),'Start Here 👉 Business Details'!H14,'Advanced Business Details'!H20)</f>
        <v>0</v>
      </c>
      <c r="E7" s="22"/>
      <c r="F7" s="22"/>
    </row>
    <row r="8" spans="1:7" ht="14.5" customHeight="1" x14ac:dyDescent="0.2">
      <c r="A8" s="22" t="s">
        <v>75</v>
      </c>
      <c r="B8" s="26">
        <f>(SUMIF('Budget Worksheet'!I11:J12, "Monthly",'Budget Worksheet'!G11:H12)*12)/'Start Here 👉 Business Details'!H14</f>
        <v>0</v>
      </c>
      <c r="C8" s="27">
        <f>(SUMIF('Budget Worksheet'!I11:J12, "Monthly",'Budget Worksheet'!G11:H12)*12)/IF(OR('Advanced Business Details'!H14="No",'Advanced Business Details'!H17&lt;0,'Start Here 👉 Business Details'!H27&lt;2),'Start Here 👉 Business Details'!H14,'Advanced Business Details'!H17)</f>
        <v>0</v>
      </c>
      <c r="D8" s="27">
        <f>(SUMIF('Budget Worksheet'!I11:J12, "Monthly",'Budget Worksheet'!G11:H12)*12)/IF(OR('Advanced Business Details'!H14="No",'Advanced Business Details'!H20&lt;0,'Start Here 👉 Business Details'!H27&lt;3),'Start Here 👉 Business Details'!H14,'Advanced Business Details'!H20)</f>
        <v>0</v>
      </c>
      <c r="E8" s="22"/>
      <c r="F8" s="28"/>
      <c r="G8" s="20"/>
    </row>
    <row r="9" spans="1:7" x14ac:dyDescent="0.2">
      <c r="A9" s="22" t="s">
        <v>76</v>
      </c>
      <c r="B9" s="26">
        <f>SUMIF('Budget Worksheet'!I11:J12, "Annual",'Budget Worksheet'!K11:L12)/'Start Here 👉 Business Details'!H14</f>
        <v>0</v>
      </c>
      <c r="C9" s="27">
        <f>SUMIF('Budget Worksheet'!I11:J12, "Annual",'Budget Worksheet'!K11:L12)/IF(OR('Advanced Business Details'!H14="No",'Advanced Business Details'!H17&lt;0,'Start Here 👉 Business Details'!H27&lt;2),'Start Here 👉 Business Details'!H14,'Advanced Business Details'!H17)</f>
        <v>0</v>
      </c>
      <c r="D9" s="27">
        <f>SUMIF('Budget Worksheet'!I11:J12, "Annual",'Budget Worksheet'!K11:L12)/IF(OR('Advanced Business Details'!H14="No",'Advanced Business Details'!H20&lt;0,'Start Here 👉 Business Details'!H27&lt;3),'Start Here 👉 Business Details'!H14,'Advanced Business Details'!H20)</f>
        <v>0</v>
      </c>
      <c r="E9" s="22"/>
      <c r="F9" s="28"/>
      <c r="G9" s="20"/>
    </row>
    <row r="10" spans="1:7" x14ac:dyDescent="0.2">
      <c r="A10" s="22" t="s">
        <v>77</v>
      </c>
      <c r="B10" s="26">
        <f>SUMIF('Budget Worksheet'!I16:J21, "Monthly",'Budget Worksheet'!K16:L21)/'Start Here 👉 Business Details'!H14</f>
        <v>0</v>
      </c>
      <c r="C10" s="27">
        <f>SUMIF('Budget Worksheet'!I16:J21, "Monthly",'Budget Worksheet'!K16:L21)/IF(OR('Start Here 👉 Business Details'!H27&lt;2,'Advanced Business Details'!H14="No",'Advanced Business Details'!H17&lt;0),'Start Here 👉 Business Details'!H14,'Advanced Business Details'!H17)</f>
        <v>0</v>
      </c>
      <c r="D10" s="27">
        <f>SUMIF('Budget Worksheet'!I16:J21, "Monthly",'Budget Worksheet'!K16:L21)/IF(OR('Start Here 👉 Business Details'!H27&lt;3,'Advanced Business Details'!H14="No",'Advanced Business Details'!H20&lt;0),'Start Here 👉 Business Details'!H14,'Advanced Business Details'!H20)</f>
        <v>0</v>
      </c>
      <c r="E10" s="22"/>
      <c r="F10" s="28"/>
      <c r="G10" s="20"/>
    </row>
    <row r="11" spans="1:7" x14ac:dyDescent="0.2">
      <c r="A11" s="22" t="s">
        <v>78</v>
      </c>
      <c r="B11" s="26">
        <f>SUMIF('Budget Worksheet'!I16:J21, "Annual",'Budget Worksheet'!K16:L21)/'Start Here 👉 Business Details'!H14</f>
        <v>0</v>
      </c>
      <c r="C11" s="27" cm="1">
        <f t="array" ref="C11">SUMIF('Budget Worksheet'!I16:J21, "Annual",'Budget Worksheet'!K16:L21)/IF(OR('Start Here 👉 Business Details'!H27&lt;2,'Advanced Business Details'!H14="No",'Advanced Business Details'!H17:I18&lt;0),'Start Here 👉 Business Details'!H14,'Advanced Business Details'!H17)</f>
        <v>0</v>
      </c>
      <c r="D11" s="27">
        <f>SUMIF('Budget Worksheet'!I16:J21, "Annual",'Budget Worksheet'!K16:L21)/IF(OR('Start Here 👉 Business Details'!H27&lt;3,'Advanced Business Details'!H14="No",'Advanced Business Details'!H20&lt;0),'Start Here 👉 Business Details'!H14,'Advanced Business Details'!H20)</f>
        <v>0</v>
      </c>
      <c r="E11" s="22"/>
      <c r="F11" s="28"/>
      <c r="G11" s="20"/>
    </row>
    <row r="12" spans="1:7" x14ac:dyDescent="0.2">
      <c r="A12" s="22" t="s">
        <v>79</v>
      </c>
      <c r="B12" s="26">
        <f ca="1">SUMIF('Budget Worksheet'!I10:J12, "One-Time Charge",'Budget Worksheet'!K10:L11)/'Start Here 👉 Business Details'!H14</f>
        <v>7.2727272727272725</v>
      </c>
      <c r="C12" s="27">
        <v>0</v>
      </c>
      <c r="D12" s="27">
        <v>0</v>
      </c>
      <c r="E12" s="22"/>
      <c r="F12" s="28"/>
      <c r="G12" s="20"/>
    </row>
    <row r="13" spans="1:7" x14ac:dyDescent="0.2">
      <c r="A13" s="22" t="s">
        <v>80</v>
      </c>
      <c r="B13" s="26">
        <f>SUMIF('Budget Worksheet'!I16:J21, "One-Time Charge",'Budget Worksheet'!K16:L21)/'Start Here 👉 Business Details'!H14</f>
        <v>0</v>
      </c>
      <c r="C13" s="27" cm="1">
        <f t="array" ref="C13">SUMIF('Budget Worksheet'!I16:J21, "One-Time Charge",'Budget Worksheet'!K16:L21)/IF(OR('Start Here 👉 Business Details'!H27&lt;2,'Advanced Business Details'!H14="No",'Advanced Business Details'!H17:I18&lt;0),'Start Here 👉 Business Details'!H14,'Advanced Business Details'!H17)</f>
        <v>0</v>
      </c>
      <c r="D13" s="27">
        <f>SUMIF('Budget Worksheet'!I16:J21, "One-Time Charge",'Budget Worksheet'!K16:L21)/IF(OR('Start Here 👉 Business Details'!H27&lt;3,'Advanced Business Details'!H14="No",'Advanced Business Details'!H20&lt;0),'Start Here 👉 Business Details'!H14,'Advanced Business Details'!H20)</f>
        <v>0</v>
      </c>
      <c r="E13" s="22"/>
      <c r="F13" s="28"/>
      <c r="G13" s="20"/>
    </row>
    <row r="14" spans="1:7" x14ac:dyDescent="0.2">
      <c r="A14" s="22"/>
      <c r="B14" s="26"/>
      <c r="C14" s="22"/>
      <c r="D14" s="22"/>
      <c r="E14" s="22"/>
      <c r="F14" s="22"/>
    </row>
    <row r="15" spans="1:7" x14ac:dyDescent="0.2">
      <c r="A15" s="22"/>
      <c r="B15" s="22"/>
      <c r="C15" s="22"/>
      <c r="D15" s="22"/>
      <c r="E15" s="22"/>
      <c r="F15" s="22"/>
    </row>
    <row r="16" spans="1:7" x14ac:dyDescent="0.2">
      <c r="A16" s="22"/>
      <c r="B16" s="26"/>
      <c r="C16" s="22"/>
      <c r="D16" s="22"/>
      <c r="E16" s="22"/>
      <c r="F16" s="22"/>
    </row>
    <row r="17" spans="1:6" x14ac:dyDescent="0.2">
      <c r="A17" s="22"/>
      <c r="B17" s="26" t="s">
        <v>39</v>
      </c>
      <c r="C17" s="22" t="s">
        <v>70</v>
      </c>
      <c r="D17" s="22" t="s">
        <v>71</v>
      </c>
      <c r="E17" s="22"/>
      <c r="F17" s="22"/>
    </row>
    <row r="18" spans="1:6" x14ac:dyDescent="0.2">
      <c r="A18" s="22" t="s">
        <v>81</v>
      </c>
      <c r="B18" s="26">
        <f ca="1">IF((B3-SUM(B5:B13))&gt;0,B3-SUM(B5:B13),0)</f>
        <v>372.22727272727275</v>
      </c>
      <c r="C18" s="26">
        <f>IF((B3-SUM(C5:C13))&gt;0,B3-SUM(C5:C13),0)</f>
        <v>379.5</v>
      </c>
      <c r="D18" s="26">
        <f>IF((B3-SUM(D5:D13))&gt;0,B3-SUM(D5:D13),0)</f>
        <v>379.5</v>
      </c>
      <c r="E18" s="22"/>
      <c r="F18" s="22"/>
    </row>
    <row r="19" spans="1:6" x14ac:dyDescent="0.2">
      <c r="A19" s="22"/>
      <c r="B19" s="26"/>
      <c r="C19" s="22"/>
      <c r="D19" s="22"/>
      <c r="E19" s="22"/>
      <c r="F19" s="22"/>
    </row>
    <row r="20" spans="1:6" x14ac:dyDescent="0.2">
      <c r="A20" s="22"/>
      <c r="B20" s="26"/>
      <c r="C20" s="22"/>
      <c r="D20" s="22"/>
      <c r="E20" s="22"/>
      <c r="F20" s="22"/>
    </row>
    <row r="21" spans="1:6" x14ac:dyDescent="0.2">
      <c r="A21" s="22"/>
      <c r="B21" s="26"/>
      <c r="C21" s="22"/>
      <c r="D21" s="22"/>
      <c r="E21" s="22"/>
      <c r="F21" s="22"/>
    </row>
    <row r="22" spans="1:6" x14ac:dyDescent="0.2">
      <c r="A22" s="22"/>
      <c r="B22" s="26"/>
      <c r="C22" s="22"/>
      <c r="D22" s="22"/>
      <c r="E22" s="22"/>
      <c r="F22" s="22"/>
    </row>
    <row r="23" spans="1:6" x14ac:dyDescent="0.2">
      <c r="A23" s="22" t="s">
        <v>82</v>
      </c>
      <c r="B23" s="26">
        <f>IF('Start Here 👉 Business Details'!H17&lt;&gt;"",'Start Here 👉 Business Details'!H17,'Start Here 👉 Business Details'!H21*'Start Here 👉 Business Details'!H24)</f>
        <v>412.5</v>
      </c>
      <c r="C23" s="26">
        <f>IF('Start Here 👉 Business Details'!H17&lt;&gt;"",'Start Here 👉 Business Details'!H17,'Start Here 👉 Business Details'!H21*'Start Here 👉 Business Details'!H24)</f>
        <v>412.5</v>
      </c>
      <c r="D23" s="26">
        <f>IF('Start Here 👉 Business Details'!H17&lt;&gt;"",'Start Here 👉 Business Details'!H17,'Start Here 👉 Business Details'!H21*'Start Here 👉 Business Details'!H24)</f>
        <v>412.5</v>
      </c>
      <c r="E23" s="22"/>
      <c r="F23" s="22"/>
    </row>
    <row r="24" spans="1:6" x14ac:dyDescent="0.2">
      <c r="A24" s="22"/>
      <c r="B24" s="26"/>
      <c r="C24" s="22"/>
      <c r="D24" s="22"/>
      <c r="E24" s="22"/>
      <c r="F24" s="22"/>
    </row>
    <row r="25" spans="1:6" x14ac:dyDescent="0.2">
      <c r="A25" s="22"/>
      <c r="B25" s="26"/>
      <c r="C25" s="22"/>
      <c r="D25" s="22"/>
      <c r="E25" s="22"/>
      <c r="F25" s="22"/>
    </row>
    <row r="26" spans="1:6" x14ac:dyDescent="0.2">
      <c r="A26" s="22"/>
      <c r="B26" s="22"/>
      <c r="C26" s="22"/>
      <c r="D26" s="22"/>
      <c r="E26" s="22"/>
      <c r="F26" s="22"/>
    </row>
    <row r="27" spans="1:6" x14ac:dyDescent="0.2">
      <c r="A27" s="22"/>
      <c r="B27" s="22"/>
      <c r="C27" s="22"/>
      <c r="D27" s="22"/>
      <c r="E27" s="22"/>
      <c r="F27" s="22"/>
    </row>
    <row r="28" spans="1:6" x14ac:dyDescent="0.2">
      <c r="A28" s="22"/>
      <c r="B28" s="22"/>
      <c r="C28" s="22"/>
      <c r="D28" s="22"/>
      <c r="E28" s="22"/>
      <c r="F28" s="22"/>
    </row>
    <row r="29" spans="1:6" x14ac:dyDescent="0.2">
      <c r="A29" s="22"/>
      <c r="B29" s="22"/>
      <c r="C29" s="22"/>
      <c r="D29" s="22"/>
      <c r="E29" s="22"/>
      <c r="F29" s="22"/>
    </row>
    <row r="30" spans="1:6" x14ac:dyDescent="0.2">
      <c r="A30" s="22"/>
      <c r="B30" s="22"/>
      <c r="C30" s="22"/>
      <c r="D30" s="22"/>
      <c r="E30" s="22"/>
      <c r="F30" s="22"/>
    </row>
    <row r="31" spans="1:6" x14ac:dyDescent="0.2">
      <c r="A31" s="22"/>
      <c r="B31" s="22"/>
      <c r="C31" s="22"/>
      <c r="D31" s="22"/>
      <c r="E31" s="22"/>
      <c r="F31" s="22"/>
    </row>
    <row r="32" spans="1:6" x14ac:dyDescent="0.2">
      <c r="A32" s="22" t="s">
        <v>83</v>
      </c>
      <c r="B32" s="22"/>
      <c r="C32" s="22"/>
      <c r="D32" s="22"/>
      <c r="E32" s="22"/>
      <c r="F32" s="22"/>
    </row>
    <row r="33" spans="1:6" x14ac:dyDescent="0.2">
      <c r="A33" s="22"/>
      <c r="B33" s="22"/>
      <c r="C33" s="22"/>
      <c r="D33" s="22"/>
      <c r="E33" s="22"/>
      <c r="F33" s="22"/>
    </row>
    <row r="34" spans="1:6" x14ac:dyDescent="0.2">
      <c r="A34" s="29" t="s">
        <v>62</v>
      </c>
      <c r="B34" s="22"/>
      <c r="C34" s="22"/>
      <c r="D34" s="22"/>
      <c r="E34" s="22"/>
      <c r="F34" s="22"/>
    </row>
    <row r="35" spans="1:6" x14ac:dyDescent="0.2">
      <c r="A35" s="30">
        <f>(((4*12)/8)/221)*45000</f>
        <v>1221.7194570135746</v>
      </c>
      <c r="B35" s="22"/>
      <c r="C35" s="22"/>
      <c r="D35" s="22"/>
      <c r="E35" s="22"/>
      <c r="F35" s="22"/>
    </row>
    <row r="36" spans="1:6" x14ac:dyDescent="0.2">
      <c r="A36" s="30">
        <f>(((8*12)/8)/221)*45000</f>
        <v>2443.4389140271492</v>
      </c>
      <c r="B36" s="22"/>
      <c r="C36" s="22"/>
      <c r="D36" s="22"/>
      <c r="E36" s="22"/>
      <c r="F36" s="22"/>
    </row>
    <row r="37" spans="1:6" x14ac:dyDescent="0.2">
      <c r="A37" s="31">
        <f>(((12*12)/8)/221)*45000</f>
        <v>3665.158371040724</v>
      </c>
      <c r="B37" s="22"/>
      <c r="C37" s="22"/>
      <c r="D37" s="22"/>
      <c r="E37" s="22"/>
      <c r="F37" s="22"/>
    </row>
    <row r="38" spans="1:6" x14ac:dyDescent="0.2">
      <c r="A38" s="32">
        <f>(((18*12)/8)/221)*45000</f>
        <v>5497.7375565610855</v>
      </c>
      <c r="B38" s="22"/>
      <c r="C38" s="22"/>
      <c r="D38" s="22"/>
      <c r="E38" s="22"/>
      <c r="F38" s="22"/>
    </row>
    <row r="39" spans="1:6" x14ac:dyDescent="0.2">
      <c r="A39" s="33">
        <f>(((24*12)/8)/221)*45000</f>
        <v>7330.316742081448</v>
      </c>
      <c r="B39" s="22"/>
      <c r="C39" s="22"/>
      <c r="D39" s="22"/>
      <c r="E39" s="22"/>
      <c r="F39" s="22"/>
    </row>
    <row r="40" spans="1:6" x14ac:dyDescent="0.2">
      <c r="A40" s="34">
        <f>(((36*12)/8)/221)*45000</f>
        <v>10995.475113122171</v>
      </c>
      <c r="B40" s="22"/>
      <c r="C40" s="22"/>
      <c r="D40" s="22"/>
      <c r="E40" s="22"/>
      <c r="F40" s="22"/>
    </row>
    <row r="41" spans="1:6" x14ac:dyDescent="0.2">
      <c r="A41" s="22"/>
      <c r="B41" s="22"/>
      <c r="C41" s="22"/>
      <c r="D41" s="22"/>
      <c r="E41" s="22"/>
      <c r="F41" s="22"/>
    </row>
    <row r="42" spans="1:6" x14ac:dyDescent="0.2">
      <c r="A42" s="22"/>
      <c r="B42" s="22"/>
      <c r="C42" s="22"/>
      <c r="D42" s="22"/>
      <c r="E42" s="22"/>
      <c r="F42" s="22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CE7CF-73CF-4FF4-BE7C-1B31975BDF9C}">
  <dimension ref="A1:H23"/>
  <sheetViews>
    <sheetView workbookViewId="0">
      <selection activeCell="C8" sqref="C8"/>
    </sheetView>
  </sheetViews>
  <sheetFormatPr baseColWidth="10" defaultColWidth="8.83203125" defaultRowHeight="15" x14ac:dyDescent="0.2"/>
  <cols>
    <col min="2" max="2" width="16.33203125" customWidth="1"/>
    <col min="3" max="3" width="92.83203125" bestFit="1" customWidth="1"/>
    <col min="4" max="4" width="86.33203125" customWidth="1"/>
    <col min="6" max="6" width="15.1640625" customWidth="1"/>
  </cols>
  <sheetData>
    <row r="1" spans="1:8" x14ac:dyDescent="0.2">
      <c r="A1" s="25" t="s">
        <v>84</v>
      </c>
      <c r="B1" s="25" t="s">
        <v>85</v>
      </c>
      <c r="C1" s="35" t="s">
        <v>86</v>
      </c>
      <c r="D1" s="35" t="s">
        <v>87</v>
      </c>
      <c r="E1" s="22"/>
      <c r="F1" s="22"/>
      <c r="G1" s="22"/>
      <c r="H1" s="22"/>
    </row>
    <row r="2" spans="1:8" x14ac:dyDescent="0.2">
      <c r="A2" s="36">
        <v>0.9</v>
      </c>
      <c r="B2" s="36" t="s">
        <v>88</v>
      </c>
      <c r="C2" s="22" t="s">
        <v>89</v>
      </c>
      <c r="D2" s="22"/>
      <c r="E2" s="22"/>
      <c r="F2" s="37" t="s">
        <v>90</v>
      </c>
      <c r="G2" s="38">
        <f>MAX(A2:A61)</f>
        <v>1.3</v>
      </c>
      <c r="H2" s="22"/>
    </row>
    <row r="3" spans="1:8" x14ac:dyDescent="0.2">
      <c r="A3" s="36">
        <v>1.1000000000000001</v>
      </c>
      <c r="B3" s="36" t="s">
        <v>91</v>
      </c>
      <c r="C3" s="22" t="s">
        <v>92</v>
      </c>
      <c r="D3" s="22"/>
      <c r="E3" s="22"/>
      <c r="F3" s="22"/>
      <c r="G3" s="22"/>
      <c r="H3" s="22"/>
    </row>
    <row r="4" spans="1:8" x14ac:dyDescent="0.2">
      <c r="A4" s="36">
        <v>1.2</v>
      </c>
      <c r="B4" s="36" t="s">
        <v>93</v>
      </c>
      <c r="C4" s="22" t="s">
        <v>94</v>
      </c>
      <c r="D4" s="22" t="s">
        <v>95</v>
      </c>
      <c r="E4" s="22"/>
      <c r="F4" s="22"/>
      <c r="G4" s="22"/>
      <c r="H4" s="22"/>
    </row>
    <row r="5" spans="1:8" x14ac:dyDescent="0.2">
      <c r="A5" s="36">
        <v>1.3</v>
      </c>
      <c r="B5" s="36" t="s">
        <v>96</v>
      </c>
      <c r="C5" s="22" t="s">
        <v>97</v>
      </c>
      <c r="D5" s="22"/>
      <c r="E5" s="22"/>
      <c r="F5" s="22"/>
      <c r="G5" s="22"/>
      <c r="H5" s="22"/>
    </row>
    <row r="6" spans="1:8" x14ac:dyDescent="0.2">
      <c r="A6" s="36"/>
      <c r="B6" s="36"/>
      <c r="C6" s="22"/>
      <c r="D6" s="22"/>
      <c r="E6" s="22"/>
      <c r="F6" s="22"/>
      <c r="G6" s="22"/>
      <c r="H6" s="22"/>
    </row>
    <row r="7" spans="1:8" x14ac:dyDescent="0.2">
      <c r="A7" s="36"/>
      <c r="B7" s="36"/>
      <c r="C7" s="22"/>
      <c r="D7" s="22"/>
      <c r="E7" s="22"/>
      <c r="F7" s="22"/>
      <c r="G7" s="22"/>
      <c r="H7" s="22"/>
    </row>
    <row r="8" spans="1:8" x14ac:dyDescent="0.2">
      <c r="A8" s="36"/>
      <c r="B8" s="36"/>
      <c r="C8" s="22"/>
      <c r="D8" s="22"/>
      <c r="E8" s="22"/>
      <c r="F8" s="22"/>
      <c r="G8" s="22"/>
      <c r="H8" s="22"/>
    </row>
    <row r="9" spans="1:8" x14ac:dyDescent="0.2">
      <c r="A9" s="36"/>
      <c r="B9" s="36"/>
      <c r="C9" s="22"/>
      <c r="D9" s="22"/>
      <c r="E9" s="22"/>
      <c r="F9" s="22"/>
      <c r="G9" s="22"/>
      <c r="H9" s="22"/>
    </row>
    <row r="10" spans="1:8" x14ac:dyDescent="0.2">
      <c r="A10" s="36"/>
      <c r="B10" s="36"/>
      <c r="C10" s="22"/>
      <c r="D10" s="22"/>
      <c r="E10" s="22"/>
      <c r="F10" s="22"/>
      <c r="G10" s="22"/>
      <c r="H10" s="22"/>
    </row>
    <row r="11" spans="1:8" x14ac:dyDescent="0.2">
      <c r="A11" s="36"/>
      <c r="B11" s="36"/>
      <c r="C11" s="22"/>
      <c r="D11" s="22"/>
      <c r="E11" s="22"/>
      <c r="F11" s="22"/>
      <c r="G11" s="22"/>
      <c r="H11" s="22"/>
    </row>
    <row r="12" spans="1:8" x14ac:dyDescent="0.2">
      <c r="A12" s="36"/>
      <c r="B12" s="36"/>
      <c r="C12" s="22"/>
      <c r="D12" s="22"/>
      <c r="E12" s="22"/>
      <c r="F12" s="22"/>
      <c r="G12" s="22"/>
      <c r="H12" s="22"/>
    </row>
    <row r="13" spans="1:8" x14ac:dyDescent="0.2">
      <c r="A13" s="36"/>
      <c r="B13" s="36"/>
      <c r="C13" s="22"/>
      <c r="D13" s="22"/>
      <c r="E13" s="22"/>
      <c r="F13" s="22"/>
      <c r="G13" s="22"/>
      <c r="H13" s="22"/>
    </row>
    <row r="14" spans="1:8" x14ac:dyDescent="0.2">
      <c r="A14" s="36"/>
      <c r="B14" s="36"/>
      <c r="C14" s="22"/>
      <c r="D14" s="22"/>
      <c r="E14" s="22"/>
      <c r="F14" s="22"/>
      <c r="G14" s="22"/>
      <c r="H14" s="22"/>
    </row>
    <row r="15" spans="1:8" x14ac:dyDescent="0.2">
      <c r="A15" s="36"/>
      <c r="B15" s="36"/>
      <c r="C15" s="22"/>
      <c r="D15" s="22"/>
      <c r="E15" s="22"/>
      <c r="F15" s="22"/>
      <c r="G15" s="22"/>
      <c r="H15" s="22"/>
    </row>
    <row r="16" spans="1:8" x14ac:dyDescent="0.2">
      <c r="A16" s="36"/>
      <c r="B16" s="36"/>
      <c r="C16" s="22"/>
      <c r="D16" s="22"/>
      <c r="E16" s="22"/>
      <c r="F16" s="22"/>
      <c r="G16" s="22"/>
      <c r="H16" s="22"/>
    </row>
    <row r="17" spans="1:8" x14ac:dyDescent="0.2">
      <c r="A17" s="36"/>
      <c r="B17" s="36"/>
      <c r="C17" s="22"/>
      <c r="D17" s="22"/>
      <c r="E17" s="22"/>
      <c r="F17" s="22"/>
      <c r="G17" s="22"/>
      <c r="H17" s="22"/>
    </row>
    <row r="18" spans="1:8" x14ac:dyDescent="0.2">
      <c r="A18" s="36"/>
      <c r="B18" s="36"/>
      <c r="C18" s="22"/>
      <c r="D18" s="22"/>
      <c r="E18" s="22"/>
      <c r="F18" s="22"/>
      <c r="G18" s="22"/>
      <c r="H18" s="22"/>
    </row>
    <row r="19" spans="1:8" x14ac:dyDescent="0.2">
      <c r="A19" s="36"/>
      <c r="B19" s="36"/>
      <c r="C19" s="22"/>
      <c r="D19" s="22"/>
      <c r="E19" s="22"/>
      <c r="F19" s="22"/>
      <c r="G19" s="22"/>
      <c r="H19" s="22"/>
    </row>
    <row r="20" spans="1:8" x14ac:dyDescent="0.2">
      <c r="A20" s="36"/>
      <c r="B20" s="36"/>
      <c r="C20" s="22"/>
      <c r="D20" s="22"/>
      <c r="E20" s="22"/>
      <c r="F20" s="22"/>
      <c r="G20" s="22"/>
      <c r="H20" s="22"/>
    </row>
    <row r="21" spans="1:8" x14ac:dyDescent="0.2">
      <c r="A21" s="7"/>
      <c r="B21" s="7"/>
    </row>
    <row r="22" spans="1:8" x14ac:dyDescent="0.2">
      <c r="A22" s="7"/>
      <c r="B22" s="7"/>
    </row>
    <row r="23" spans="1:8" x14ac:dyDescent="0.2">
      <c r="A23" s="7"/>
      <c r="B23" s="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9E18DC5E74E84A82F3F020D44590C5" ma:contentTypeVersion="19" ma:contentTypeDescription="Create a new document." ma:contentTypeScope="" ma:versionID="107699d2bc2d724a14d67a2948d83141">
  <xsd:schema xmlns:xsd="http://www.w3.org/2001/XMLSchema" xmlns:xs="http://www.w3.org/2001/XMLSchema" xmlns:p="http://schemas.microsoft.com/office/2006/metadata/properties" xmlns:ns2="a2b8f1c8-5990-48c5-a39b-c184c17980cc" xmlns:ns3="08eaffd9-dfcf-46a3-b1e0-7f998c15918a" targetNamespace="http://schemas.microsoft.com/office/2006/metadata/properties" ma:root="true" ma:fieldsID="604e581240a0ae696f23d7c3be2aea37" ns2:_="" ns3:_="">
    <xsd:import namespace="a2b8f1c8-5990-48c5-a39b-c184c17980cc"/>
    <xsd:import namespace="08eaffd9-dfcf-46a3-b1e0-7f998c159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8f1c8-5990-48c5-a39b-c184c17980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345981c-15a0-4c3a-841f-71d04d4a28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eaffd9-dfcf-46a3-b1e0-7f998c159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d621c14-4993-4f61-a36d-6cdc5df0f18f}" ma:internalName="TaxCatchAll" ma:showField="CatchAllData" ma:web="08eaffd9-dfcf-46a3-b1e0-7f998c159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b8f1c8-5990-48c5-a39b-c184c17980cc">
      <Terms xmlns="http://schemas.microsoft.com/office/infopath/2007/PartnerControls"/>
    </lcf76f155ced4ddcb4097134ff3c332f>
    <TaxCatchAll xmlns="08eaffd9-dfcf-46a3-b1e0-7f998c1591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1CC3BA-2022-4EE3-A29D-0C24D8D068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b8f1c8-5990-48c5-a39b-c184c17980cc"/>
    <ds:schemaRef ds:uri="08eaffd9-dfcf-46a3-b1e0-7f998c159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A03635-A95C-4B82-8E7F-3F8177CAFB47}">
  <ds:schemaRefs>
    <ds:schemaRef ds:uri="http://schemas.microsoft.com/office/2006/metadata/properties"/>
    <ds:schemaRef ds:uri="http://schemas.microsoft.com/office/infopath/2007/PartnerControls"/>
    <ds:schemaRef ds:uri="a2b8f1c8-5990-48c5-a39b-c184c17980cc"/>
    <ds:schemaRef ds:uri="08eaffd9-dfcf-46a3-b1e0-7f998c15918a"/>
  </ds:schemaRefs>
</ds:datastoreItem>
</file>

<file path=customXml/itemProps3.xml><?xml version="1.0" encoding="utf-8"?>
<ds:datastoreItem xmlns:ds="http://schemas.openxmlformats.org/officeDocument/2006/customXml" ds:itemID="{F2217351-2C3A-4DCE-9802-893C55AB537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Start Here 👉 Business Details</vt:lpstr>
      <vt:lpstr>Advanced Business Details</vt:lpstr>
      <vt:lpstr>Budget Worksheet</vt:lpstr>
      <vt:lpstr>Settings</vt:lpstr>
      <vt:lpstr>Calculations</vt:lpstr>
      <vt:lpstr>Version</vt:lpstr>
      <vt:lpstr>tool_version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Taryn Hart</cp:lastModifiedBy>
  <cp:revision/>
  <dcterms:created xsi:type="dcterms:W3CDTF">2021-09-01T22:46:39Z</dcterms:created>
  <dcterms:modified xsi:type="dcterms:W3CDTF">2025-09-11T01:15:55Z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0x0101008B9E18DC5E74E84A82F3F020D44590C5</vt:lpwstr>
  </property>
  <property fmtid="{D5CDD505-2E9C-101B-9397-08002B2CF9AE}" pid="3" name="MediaServiceImageTags">
    <vt:lpwstr/>
  </property>
</Properties>
</file>